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wolterskluwer-my.sharepoint.com/personal/marcin_szwec_wolterskluwer_com/Documents/Desktop/"/>
    </mc:Choice>
  </mc:AlternateContent>
  <xr:revisionPtr revIDLastSave="0" documentId="8_{198D4801-014E-4216-9E54-108D1EB386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tureJournals" sheetId="2" r:id="rId1"/>
    <sheet name="Future Books" sheetId="5" r:id="rId2"/>
    <sheet name="Browse URL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  <c r="B7" i="8"/>
  <c r="B6" i="8"/>
  <c r="B5" i="8"/>
  <c r="B4" i="8"/>
  <c r="B3" i="8"/>
  <c r="B2" i="8"/>
  <c r="H2" i="5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</calcChain>
</file>

<file path=xl/sharedStrings.xml><?xml version="1.0" encoding="utf-8"?>
<sst xmlns="http://schemas.openxmlformats.org/spreadsheetml/2006/main" count="8290" uniqueCount="3161">
  <si>
    <t>https://ovidsp.ovid.com/rss/journals/00001756/pap.rss</t>
  </si>
  <si>
    <t>02054639</t>
  </si>
  <si>
    <t>Advances in Neonatal Care</t>
  </si>
  <si>
    <t>Obstetric Anesthesia Digest</t>
  </si>
  <si>
    <t>2001-02-01 - 2008-11-01</t>
  </si>
  <si>
    <t>https://ovidsp.ovid.com/rss/journals/01445442/pap.rss</t>
  </si>
  <si>
    <t>2025-09-01 - 2025-12-01</t>
  </si>
  <si>
    <t>https://ovidsp.ovid.com/rss/journals/01202412/current.rss</t>
  </si>
  <si>
    <t>1536-0210</t>
  </si>
  <si>
    <t>02104054</t>
  </si>
  <si>
    <t>https://ovidsp.ovid.com/rss/journals/00020840/current.rss</t>
  </si>
  <si>
    <t>2017-12-15</t>
  </si>
  <si>
    <t>https://ovidsp.ovid.com/rss/journals/00001648/pap.rss</t>
  </si>
  <si>
    <t>1994-01-01</t>
  </si>
  <si>
    <t>Pharmacology;Health Professions;Clinical Medicine</t>
  </si>
  <si>
    <t>https://ovidsp.ovid.com/rss/journals/00041552/current.rss</t>
  </si>
  <si>
    <t>1525-4135</t>
  </si>
  <si>
    <t>Techniques in Foot &amp; Ankle Surgery</t>
  </si>
  <si>
    <t>https://ovidsp.ovid.com/rss/journals/00003081/current.rss</t>
  </si>
  <si>
    <t>2834-5371</t>
  </si>
  <si>
    <t>1526-632X</t>
  </si>
  <si>
    <t>https://journals.lww.com/pbj</t>
  </si>
  <si>
    <t>00124743</t>
  </si>
  <si>
    <t>Journal of Psychosocial Oncology Research and Practice</t>
  </si>
  <si>
    <t>https://ovidsp.ovid.com/rss/journals/00008506/pap.rss</t>
  </si>
  <si>
    <t>02238388</t>
  </si>
  <si>
    <t>https://ovidsp.ovid.com/rss/journals/00021668/current.rss</t>
  </si>
  <si>
    <t>Techniques in Knee Surgery</t>
  </si>
  <si>
    <t>https://journals.lww.com/international-journal-of-surgery/</t>
  </si>
  <si>
    <t>00132588</t>
  </si>
  <si>
    <t>00006250</t>
  </si>
  <si>
    <t>2025-03-01 - 2026-03-01</t>
  </si>
  <si>
    <t>2021-04-01 - 2026-01-01</t>
  </si>
  <si>
    <t>2015-04-01 - 2026-02-01</t>
  </si>
  <si>
    <t>1473-6543</t>
  </si>
  <si>
    <t>https://ovidsp.ovid.com/rss/journals/01209203/current.rss</t>
  </si>
  <si>
    <t>Nutrition Today</t>
  </si>
  <si>
    <t>https://journals.lww.com/amjforensicmedicine</t>
  </si>
  <si>
    <t>https://ovidsp.ovid.com/rss/journals/00005217/pap.rss</t>
  </si>
  <si>
    <t>0269-9370</t>
  </si>
  <si>
    <t>https://ovidsp.ovid.com/rss/journals/00000637/pap.rss</t>
  </si>
  <si>
    <t>1473-5873</t>
  </si>
  <si>
    <t>1538-8646</t>
  </si>
  <si>
    <t>2771-1897</t>
  </si>
  <si>
    <t>Wolters Kluwer Health _ Lippincott Williams &amp; Wilkins</t>
  </si>
  <si>
    <t>Spine: Affiliated Society Meeting Abstracts</t>
  </si>
  <si>
    <t>Asia Pacific Allergy</t>
  </si>
  <si>
    <t>https://ovidsp.ovid.com/rss/journals/01873671/current.rss</t>
  </si>
  <si>
    <t>Browse All Journals@Ovid</t>
  </si>
  <si>
    <t>Pediatric Quality and Safety</t>
  </si>
  <si>
    <t>00000658</t>
  </si>
  <si>
    <t>00002281</t>
  </si>
  <si>
    <t>https://ovidsp.ovid.com/rss/journals/02118582/pap.rss</t>
  </si>
  <si>
    <t>2380-0194</t>
  </si>
  <si>
    <t>http://journals.lww.com/jan</t>
  </si>
  <si>
    <t>Journal of Wound, Ostomy &amp; Continence Nursing</t>
  </si>
  <si>
    <t>https://ovidsp.ovid.com/rss/journals/02276436/current.rss</t>
  </si>
  <si>
    <t>https://ovidsp.ovid.com/rss/journals/02273349/current.rss</t>
  </si>
  <si>
    <t>https://journals.lww.com/inr/</t>
  </si>
  <si>
    <t>2007-10-01</t>
  </si>
  <si>
    <t>2161-1181</t>
  </si>
  <si>
    <t>ShortCode</t>
  </si>
  <si>
    <t>0160-6379</t>
  </si>
  <si>
    <t>1539-2864</t>
  </si>
  <si>
    <t>http://journals.lww.com/drug-monitoring</t>
  </si>
  <si>
    <t>2589-9473</t>
  </si>
  <si>
    <t>https://ovidsp.ovid.com/rss/journals/00004669/current.rss</t>
  </si>
  <si>
    <t>Clinical Medicine;Behavioral &amp; Social Sciences;Pharmacology</t>
  </si>
  <si>
    <t>01821703</t>
  </si>
  <si>
    <t>https://journals.lww.com/biomedicalsafetystandards</t>
  </si>
  <si>
    <t>2331-2661</t>
  </si>
  <si>
    <t>https://ovidsp.ovid.com/rss/journals/01337493/pap.rss</t>
  </si>
  <si>
    <t>2380-0224</t>
  </si>
  <si>
    <t>Translational Journal of the American College of Sports Medicine</t>
  </si>
  <si>
    <t>https://journals.lww.com/otainternational</t>
  </si>
  <si>
    <t>https://ovidsp.ovid.com/rss/journals/00127893/current.rss</t>
  </si>
  <si>
    <t>https://journals.lww.com/bsam/</t>
  </si>
  <si>
    <t>e1</t>
  </si>
  <si>
    <t>1069-1286</t>
  </si>
  <si>
    <t>1940-5960</t>
  </si>
  <si>
    <t>https://ovidsp.ovid.com/rss/journals/00130911/current.rss</t>
  </si>
  <si>
    <t>1537-1581</t>
  </si>
  <si>
    <t>Journal of Trauma Nursing</t>
  </si>
  <si>
    <t>http://journals.lww.com/tnpj</t>
  </si>
  <si>
    <t>Current Subscription</t>
  </si>
  <si>
    <t>http://journals.lww.com/topicsinmri</t>
  </si>
  <si>
    <t>https://ovidsp.ovid.com/rss/journals/00065443/current.rss</t>
  </si>
  <si>
    <t>1538-4667</t>
  </si>
  <si>
    <t>2475-2797</t>
  </si>
  <si>
    <t>https://ovidsp.ovid.com/rss/journals/01873671/pap.rss</t>
  </si>
  <si>
    <t>http://journals.lww.com/neponline</t>
  </si>
  <si>
    <t>https://www.ahajournals.org/journal/hyp</t>
  </si>
  <si>
    <t>2233-8268</t>
  </si>
  <si>
    <t>2016-07-01</t>
  </si>
  <si>
    <t>2023-03-01</t>
  </si>
  <si>
    <t>Emergency Medicine News</t>
  </si>
  <si>
    <t>Therapeutic Drug Monitoring</t>
  </si>
  <si>
    <t>1537-1948</t>
  </si>
  <si>
    <t>https://ovidsp.ovid.com/rss/journals/00002800/current.rss</t>
  </si>
  <si>
    <t>00004347</t>
  </si>
  <si>
    <t>1078-7496</t>
  </si>
  <si>
    <t>02273976</t>
  </si>
  <si>
    <t>Spine</t>
  </si>
  <si>
    <t>00754481</t>
  </si>
  <si>
    <t>Advances in Nursing Science</t>
  </si>
  <si>
    <t>00130911</t>
  </si>
  <si>
    <t>0195-7910</t>
  </si>
  <si>
    <t>2000-03-01</t>
  </si>
  <si>
    <t>https://ovidsp.ovid.com/rss/journals/00001504/current.rss</t>
  </si>
  <si>
    <t>https://journals.lww.com/apjoo</t>
  </si>
  <si>
    <t>2016-01-15</t>
  </si>
  <si>
    <t>Title</t>
  </si>
  <si>
    <t>1941-3297</t>
  </si>
  <si>
    <t>http://journals.lww.com/continuum</t>
  </si>
  <si>
    <t>2021-09-01 - 2025-12-01</t>
  </si>
  <si>
    <t>https://ovidsp.ovid.com/rss/journals/00004650/current.rss</t>
  </si>
  <si>
    <t>Evidence-Based Ophthalmology</t>
  </si>
  <si>
    <t>https://ovidsp.ovid.com/rss/journals/00007632/pap.rss</t>
  </si>
  <si>
    <t>Nursing;Health Professions;Clinical Medicine</t>
  </si>
  <si>
    <t>2017-03-01</t>
  </si>
  <si>
    <t>https://ovidsp.ovid.com/rss/journals/00003465/current.rss</t>
  </si>
  <si>
    <t>1527-3792</t>
  </si>
  <si>
    <t>MedMat</t>
  </si>
  <si>
    <t>0263-6352</t>
  </si>
  <si>
    <t>https://ovidsp.ovid.com/rss/journals/00126450/current.rss</t>
  </si>
  <si>
    <t>01517119</t>
  </si>
  <si>
    <t>2563-9021</t>
  </si>
  <si>
    <t>http://journals.lww.com/jcat</t>
  </si>
  <si>
    <t>https://ovidsp.ovid.com/rss/journals/01277230/current.rss</t>
  </si>
  <si>
    <t>0147-5185</t>
  </si>
  <si>
    <t>http://journals.lww.com/euro-emergencymed</t>
  </si>
  <si>
    <t>https://journals.lww.com/appliedimmunohist</t>
  </si>
  <si>
    <t>http://journals.lww.com/greenjournal</t>
  </si>
  <si>
    <t>http://journals.lww.com/pqs</t>
  </si>
  <si>
    <t>1932-751X</t>
  </si>
  <si>
    <t>http://journals.lww.com/topicsinclinicalnutrition</t>
  </si>
  <si>
    <t>00001416</t>
  </si>
  <si>
    <t>https://ovidsp.ovid.com/rss/journals/00061198/pap.rss</t>
  </si>
  <si>
    <t>1529-4242</t>
  </si>
  <si>
    <t>https://ovidsp.ovid.com/rss/journals/00124784/pap.rss</t>
  </si>
  <si>
    <t>2005-01-15 - 2010-08-31</t>
  </si>
  <si>
    <t>1939-3938</t>
  </si>
  <si>
    <t>http://journals.lww.com/cns-journal</t>
  </si>
  <si>
    <t>https://ovidsp.ovid.com/rss/journals/01263942/current.rss</t>
  </si>
  <si>
    <t>1538-8689</t>
  </si>
  <si>
    <t>00001622</t>
  </si>
  <si>
    <t>2023-10-01</t>
  </si>
  <si>
    <t>https://journals.lww.com/lbjnewsletter/</t>
  </si>
  <si>
    <t>01337497</t>
  </si>
  <si>
    <t>1557-0576</t>
  </si>
  <si>
    <t>1538-7488</t>
  </si>
  <si>
    <t>2007-05-01</t>
  </si>
  <si>
    <t>00043605</t>
  </si>
  <si>
    <t>1942-3268</t>
  </si>
  <si>
    <t>2002-09-01 - 2012-12-01</t>
  </si>
  <si>
    <t>1531-7056</t>
  </si>
  <si>
    <t>1536-0911</t>
  </si>
  <si>
    <t>00001721</t>
  </si>
  <si>
    <t>Journal of Acute Care Physical Therapy</t>
  </si>
  <si>
    <t>0021-9355</t>
  </si>
  <si>
    <t>1/2</t>
  </si>
  <si>
    <t>http://journals.lww.com/journalofinfusionnursing</t>
  </si>
  <si>
    <t>https://ovidsp.ovid.com/rss/journals/00042307/pap.rss</t>
  </si>
  <si>
    <t>https://ovidsp.ovid.com/rss/journals/00008877/pap.rss</t>
  </si>
  <si>
    <t>1682-606X</t>
  </si>
  <si>
    <t>http://journals.lww.com/environepidem</t>
  </si>
  <si>
    <t>1538-1943</t>
  </si>
  <si>
    <t>Journal of Vascular Anomalies</t>
  </si>
  <si>
    <t>00045391</t>
  </si>
  <si>
    <t>2013-10-01 - 2017-12-15</t>
  </si>
  <si>
    <t>https://ovidsp.ovid.com/rss/journals/00007890/pap.rss</t>
  </si>
  <si>
    <t>http://journals.lww.com/acsm-essr</t>
  </si>
  <si>
    <t>Advanced Emergency Nursing Journal</t>
  </si>
  <si>
    <t>1473-5717</t>
  </si>
  <si>
    <t>1552-3624</t>
  </si>
  <si>
    <t>1473-6535</t>
  </si>
  <si>
    <t>1538-943X</t>
  </si>
  <si>
    <t>1531-2291</t>
  </si>
  <si>
    <t>https://ovidsp.ovid.com/rss/journals/00152193/current.rss</t>
  </si>
  <si>
    <t>https://ovidsp.ovid.com/rss/journals/00000658/pap.rss</t>
  </si>
  <si>
    <t>2022-12-01</t>
  </si>
  <si>
    <t>https://ovidsp.ovid.com/rss/journals/00024382/pap.rss</t>
  </si>
  <si>
    <t>https://ovidsp.ovid.com/rss/journals/00001610/pap.rss</t>
  </si>
  <si>
    <t>https://ovidsp.ovid.com/rss/journals/01823246/current.rss</t>
  </si>
  <si>
    <t>Transplantation Direct</t>
  </si>
  <si>
    <t>https://ovidsp.ovid.com/rss/journals/00149525/current.rss</t>
  </si>
  <si>
    <t>https://ovidsp.ovid.com/rss/journals/00006254/current.rss</t>
  </si>
  <si>
    <t>2016-03-01</t>
  </si>
  <si>
    <t>2002-09-01</t>
  </si>
  <si>
    <t>https://ovidsp.ovid.com/rss/journals/00004479/current.rss</t>
  </si>
  <si>
    <t>https://ovidsp.ovid.com/rss/journals/00004703/current.rss</t>
  </si>
  <si>
    <t>Topics in Pain Management</t>
  </si>
  <si>
    <t>Multidisciplinary Subjects</t>
  </si>
  <si>
    <t>01599573</t>
  </si>
  <si>
    <t>https://ovidsp.ovid.com/rss/journals/01709760/pap.rss</t>
  </si>
  <si>
    <t>Anesthesia &amp; Analgesia</t>
  </si>
  <si>
    <t>https://ovidsp.ovid.com/rss/journals/01266029/current.rss</t>
  </si>
  <si>
    <t>2015-02-01 - 2017-12-01</t>
  </si>
  <si>
    <t>1555-9041</t>
  </si>
  <si>
    <t>1547-1896</t>
  </si>
  <si>
    <t>2025-06-01 - 2025-09-01</t>
  </si>
  <si>
    <t>https://journals.lww.com/postgradobgyn</t>
  </si>
  <si>
    <t>00006454</t>
  </si>
  <si>
    <t>1525-5794</t>
  </si>
  <si>
    <t>01244665</t>
  </si>
  <si>
    <t>https://ovidsp.ovid.com/rss/journals/00145756/current.rss</t>
  </si>
  <si>
    <t>0363-471X</t>
  </si>
  <si>
    <t>00006205</t>
  </si>
  <si>
    <t>https://ovidsp.ovid.com/rss/journals/00004311/pap.rss</t>
  </si>
  <si>
    <t>00001610</t>
  </si>
  <si>
    <t>https://ovidsp.ovid.com/rss/journals/02205615/pap.rss</t>
  </si>
  <si>
    <t>Chinese Medical Journal</t>
  </si>
  <si>
    <t>Stroke: Vascular and Interventional Neurology</t>
  </si>
  <si>
    <t>https://ovidsp.ovid.com/rss/journals/01337498/current.rss</t>
  </si>
  <si>
    <t>2002-01-01 - 2006-09-01</t>
  </si>
  <si>
    <t>2001-05-01 - 2025-10-16</t>
  </si>
  <si>
    <t>2589-9627</t>
  </si>
  <si>
    <t>2024-01-01 - 2025-01-01</t>
  </si>
  <si>
    <t>https://journals.lww.com/cd</t>
  </si>
  <si>
    <t>https://ovidsp.ovid.com/rss/journals/00004650/pap.rss</t>
  </si>
  <si>
    <t>http://journals.lww.com/jbisrir</t>
  </si>
  <si>
    <t>PAP</t>
  </si>
  <si>
    <t>02118582</t>
  </si>
  <si>
    <t>Nursing Management</t>
  </si>
  <si>
    <t>02174540</t>
  </si>
  <si>
    <t>0271-0749</t>
  </si>
  <si>
    <t>0268-4705</t>
  </si>
  <si>
    <t>Contemporary Neurosurgery</t>
  </si>
  <si>
    <t>01209203</t>
  </si>
  <si>
    <t>https://journals.lww.com/japt</t>
  </si>
  <si>
    <t>http://journals.lww.com/hrpjournal</t>
  </si>
  <si>
    <t>https://ovidsp.ovid.com/rss/journals/01253086/pap.rss</t>
  </si>
  <si>
    <t>00013542</t>
  </si>
  <si>
    <t>http://journals.lww.com/pedorthopaedics</t>
  </si>
  <si>
    <t>https://ovidsp.ovid.com/rss/journals/01266021/current.rss</t>
  </si>
  <si>
    <t>Arteriosclerosis, Thrombosis, &amp; Vascular Biology</t>
  </si>
  <si>
    <t>https://ovidsp.ovid.com/rss/journals/01720094/pap.rss</t>
  </si>
  <si>
    <t>https://ovidsp.ovid.com/rss/journals/00006565/pap.rss</t>
  </si>
  <si>
    <t>http://journals.lww.com/cjsportsmed</t>
  </si>
  <si>
    <t>http://journals.lww.com/ccmjournal</t>
  </si>
  <si>
    <t>2016-05-01 - 2025-10-01</t>
  </si>
  <si>
    <t>Browse All Databases</t>
  </si>
  <si>
    <t>01787401</t>
  </si>
  <si>
    <t>2004-10-01</t>
  </si>
  <si>
    <t>https://journals.lww.com/ajmqonline/</t>
  </si>
  <si>
    <t>2151-8378</t>
  </si>
  <si>
    <t>Cardiovascular Endocrinology &amp; Metabolism</t>
  </si>
  <si>
    <t>https://ovidsp.ovid.com/rss/journals/00004714/pap.rss</t>
  </si>
  <si>
    <t>00017285</t>
  </si>
  <si>
    <t>2020-07-01</t>
  </si>
  <si>
    <t>https://ovidsp.ovid.com/rss/journals/00007691/pap.rss</t>
  </si>
  <si>
    <t>https://ovidsp.ovid.com/rss/journals/01244666/current.rss</t>
  </si>
  <si>
    <t>Journal of Cardiovascular Pharmacology</t>
  </si>
  <si>
    <t>https://ovidsp.ovid.com/rss/journals/00149525/pap.rss</t>
  </si>
  <si>
    <t>Current Opinion in Rheumatology</t>
  </si>
  <si>
    <t>00006216</t>
  </si>
  <si>
    <t>https://ovidsp.ovid.com/rss/journals/01337497/current.rss</t>
  </si>
  <si>
    <t>1550-5138</t>
  </si>
  <si>
    <t>2032-7072</t>
  </si>
  <si>
    <t>Cardiology Discovery</t>
  </si>
  <si>
    <t>2001-01-01 - 2004-01-01</t>
  </si>
  <si>
    <t>https://ovidsp.ovid.com/rss/journals/02272506/current.rss</t>
  </si>
  <si>
    <t>Retina</t>
  </si>
  <si>
    <t>https://ovidsp.ovid.com/rss/journals/01261775/current.rss</t>
  </si>
  <si>
    <t>https://ovidsp.ovid.com/rss/journals/00130990/current.rss</t>
  </si>
  <si>
    <t>1068-0640</t>
  </si>
  <si>
    <t>2015-01-31 - 2026-02-15</t>
  </si>
  <si>
    <t>https://ovidsp.ovid.com/rss/journals/00000433/current.rss</t>
  </si>
  <si>
    <t>2373-8731</t>
  </si>
  <si>
    <t>Search Books@Ovid</t>
  </si>
  <si>
    <t>0028-3878</t>
  </si>
  <si>
    <t>https://ovidsp.ovid.com/rss/journals/01599573/current.rss</t>
  </si>
  <si>
    <t>https://ovidsp.ovid.com/rss/journals/00004691/pap.rss</t>
  </si>
  <si>
    <t>1533-712X</t>
  </si>
  <si>
    <t>Public Health;Clinical Medicine</t>
  </si>
  <si>
    <t>https://ovidsp.ovid.com/rss/journals/01859447/current.rss</t>
  </si>
  <si>
    <t>01445473</t>
  </si>
  <si>
    <t>1534-7796</t>
  </si>
  <si>
    <t>Cardiology Plus</t>
  </si>
  <si>
    <t>http://journals.lww.com/neurosurgery-quarterly</t>
  </si>
  <si>
    <t>https://ovidsp.ovid.com/rss/journals/00042307/current.rss</t>
  </si>
  <si>
    <t>JBJS Reviews</t>
  </si>
  <si>
    <t>00003226</t>
  </si>
  <si>
    <t>https://ovidsp.ovid.com/rss/journals/01376517/pap.rss</t>
  </si>
  <si>
    <t>https://ovidsp.ovid.com/rss/journals/00006676/current.rss</t>
  </si>
  <si>
    <t>https://ovidsp.ovid.com/rss/journals/02273304/pap.rss</t>
  </si>
  <si>
    <t>2046-2484</t>
  </si>
  <si>
    <t>00075200</t>
  </si>
  <si>
    <t>Clinical Spine Surgery</t>
  </si>
  <si>
    <t>Cornea</t>
  </si>
  <si>
    <t>ASAIO Journal</t>
  </si>
  <si>
    <t>2015-12-31</t>
  </si>
  <si>
    <t>1922-05-01</t>
  </si>
  <si>
    <t>1536-5948</t>
  </si>
  <si>
    <t>AJSP: Reviews and Reports</t>
  </si>
  <si>
    <t>0744-6314</t>
  </si>
  <si>
    <t>02211144</t>
  </si>
  <si>
    <t>01873671</t>
  </si>
  <si>
    <t>http://journals.lww.com/clinnutrinsight</t>
  </si>
  <si>
    <t>https://ovidsp.ovid.com/rss/journals/00005237/current.rss</t>
  </si>
  <si>
    <t>https://journals.lww.com/aenjournal</t>
  </si>
  <si>
    <t>1531-6572</t>
  </si>
  <si>
    <t>https://ovidsp.ovid.com/rss/journals/00008469/current.rss</t>
  </si>
  <si>
    <t>Life &amp; Biomedical Sciences;Health Professions;Clinical Medicine;Behavioral &amp; Social Sciences</t>
  </si>
  <si>
    <t>00002060</t>
  </si>
  <si>
    <t>http://journals.lww.com/headtraumarehab</t>
  </si>
  <si>
    <t>Journal of Nursing Research</t>
  </si>
  <si>
    <t>https://ovidsp.ovid.com/rss/journals/00006250/current.rss</t>
  </si>
  <si>
    <t>Interdisciplinary Nursing Research</t>
  </si>
  <si>
    <t>1079-5642</t>
  </si>
  <si>
    <t>https://ovidsp.ovid.com/rss/journals/00005131/current.rss</t>
  </si>
  <si>
    <t>01266021</t>
  </si>
  <si>
    <t>JBJS Essential Surgical Techniques</t>
  </si>
  <si>
    <t>2000-01-01</t>
  </si>
  <si>
    <t>https://ovidsp.ovid.com/rss/journals/00129334/current.rss</t>
  </si>
  <si>
    <t>2012-02-01</t>
  </si>
  <si>
    <t>1049-2275</t>
  </si>
  <si>
    <t>European Journal of Emergency Medicine</t>
  </si>
  <si>
    <t>Neurosurgery Quarterly</t>
  </si>
  <si>
    <t>https://ovidsp.ovid.com/rss/journals/00075200/current.rss</t>
  </si>
  <si>
    <t>1932-7501</t>
  </si>
  <si>
    <t>1531-5754</t>
  </si>
  <si>
    <t>https://ovidsp.ovid.com/rss/journals/02273304/current.rss</t>
  </si>
  <si>
    <t>2015-01-01 - 2026-04-01</t>
  </si>
  <si>
    <t>1536-5964</t>
  </si>
  <si>
    <t>1550-5103</t>
  </si>
  <si>
    <t>Ultrasound Quarterly</t>
  </si>
  <si>
    <t>Current Opinion in Allergy &amp; Clinical Immunology</t>
  </si>
  <si>
    <t>https://ovidsp.ovid.com/rss/journals/00002480/pap.rss</t>
  </si>
  <si>
    <t>1538-3008</t>
  </si>
  <si>
    <t>00006247</t>
  </si>
  <si>
    <t>https://ovidsp.ovid.com/rss/journals/00045415/pap.rss</t>
  </si>
  <si>
    <t>Search Your Journals@Ovid</t>
  </si>
  <si>
    <t>02275438</t>
  </si>
  <si>
    <t>Journal of Addictions Nursing</t>
  </si>
  <si>
    <t>http://journals.lww.com/obgynsurvey</t>
  </si>
  <si>
    <t>http://journals.lww.com/internat-ophthalmology</t>
  </si>
  <si>
    <t>00008526</t>
  </si>
  <si>
    <t>Clinical Medicine;Health Professions;Nursing;Pharmacology</t>
  </si>
  <si>
    <t>https://ovidsp.ovid.com/rss/journals/02277013/current.rss</t>
  </si>
  <si>
    <t>http://journals.lww.com/co-infectiousdiseases</t>
  </si>
  <si>
    <t>1557-0584</t>
  </si>
  <si>
    <t>https://journals.lww.com/rdm/</t>
  </si>
  <si>
    <t>2016-09-01</t>
  </si>
  <si>
    <t>https://journals.lww.com/ajnonline</t>
  </si>
  <si>
    <t>2014-09-01 - 2026-01-01</t>
  </si>
  <si>
    <t>http://journals.lww.com/co-supportiveandpalliativecare</t>
  </si>
  <si>
    <t>978-9-3515-2497-7</t>
  </si>
  <si>
    <t>https://ovidsp.ovid.com/rss/journals/00023727/current.rss</t>
  </si>
  <si>
    <t>https://ovidsp.ovid.com/rss/journals/00006205/current.rss</t>
  </si>
  <si>
    <t>https://ovidsp.ovid.com/rss/journals/02123147/pap.rss</t>
  </si>
  <si>
    <t>2019-09-01 - 2025-12-01</t>
  </si>
  <si>
    <t>0020-8167</t>
  </si>
  <si>
    <t>https://ovidsp.ovid.com/rss/journals/00134372/pap.rss</t>
  </si>
  <si>
    <t>02273800</t>
  </si>
  <si>
    <t>https://ovidsp.ovid.com/rss/journals/02273805/current.rss</t>
  </si>
  <si>
    <t>1531-698X</t>
  </si>
  <si>
    <t>00004836</t>
  </si>
  <si>
    <t>https://ovidsp.ovid.com/rss/journals/01974520/current.rss</t>
  </si>
  <si>
    <t>2015-01-01 - 2026-03-01</t>
  </si>
  <si>
    <t>2019-12-01</t>
  </si>
  <si>
    <t>1948-8270</t>
  </si>
  <si>
    <t>https://ovidsp.ovid.com/rss/journals/00002281/current.rss</t>
  </si>
  <si>
    <t>02158035</t>
  </si>
  <si>
    <t>00013614</t>
  </si>
  <si>
    <t>02272506</t>
  </si>
  <si>
    <t>https://journals.lww.com/ursc/</t>
  </si>
  <si>
    <t>1550-5030</t>
  </si>
  <si>
    <t>Current Opinion in Cardiology</t>
  </si>
  <si>
    <t>1072-4109</t>
  </si>
  <si>
    <t>Journal of Occupational &amp; Environmental Medicine</t>
  </si>
  <si>
    <t>https://ovidsp.ovid.com/rss/journals/00005344/current.rss</t>
  </si>
  <si>
    <t>https://ovidsp.ovid.com/rss/journals/00001199/pap.rss</t>
  </si>
  <si>
    <t>https://ovidsp.ovid.com/rss/journals/00004032/pap.rss</t>
  </si>
  <si>
    <t>00002727</t>
  </si>
  <si>
    <t>Neurology Today</t>
  </si>
  <si>
    <t>http://journals.lww.com/backletter</t>
  </si>
  <si>
    <t>https://journals.lww.com/cardiovascularendocrinology</t>
  </si>
  <si>
    <t>https://ovidsp.ovid.com/rss/journals/00000478/pap.rss</t>
  </si>
  <si>
    <t>Otology &amp; Neurotology</t>
  </si>
  <si>
    <t>https://www.auajournals.org/journal/juro</t>
  </si>
  <si>
    <t>Techniques in Shoulder &amp; Elbow Surgery</t>
  </si>
  <si>
    <t>2017-01-01 - 2025-11-01</t>
  </si>
  <si>
    <t>Circulation: Cardiovascular Genetics</t>
  </si>
  <si>
    <t>02272668</t>
  </si>
  <si>
    <t>https://ovidsp.ovid.com/rss/journals/01279778/current.rss</t>
  </si>
  <si>
    <t>https://ovidsp.ovid.com/rss/journals/02158035/current.rss</t>
  </si>
  <si>
    <t>https://ovidsp.ovid.com/rss/journals/00125480/current.rss</t>
  </si>
  <si>
    <t>2020-11-01 - 2025-12-01</t>
  </si>
  <si>
    <t>2014-06-01 - 2026-03-01</t>
  </si>
  <si>
    <t>https://ovidsp.ovid.com/rss/journals/00017285/current.rss</t>
  </si>
  <si>
    <t>1988-12-01</t>
  </si>
  <si>
    <t>2013-11-19 - 2026-01-01</t>
  </si>
  <si>
    <t>NeuroReport</t>
  </si>
  <si>
    <t>The Radiologist</t>
  </si>
  <si>
    <t>PAP RSS Feed URL</t>
  </si>
  <si>
    <t>2006-01-01 - 2026-01-01</t>
  </si>
  <si>
    <t>00019514</t>
  </si>
  <si>
    <t>2380-0216</t>
  </si>
  <si>
    <t>2017-02-01</t>
  </si>
  <si>
    <t>2994-8908</t>
  </si>
  <si>
    <t>2017-09-01 - 2026-02-01</t>
  </si>
  <si>
    <t>https://journals.lww.com/acgcr</t>
  </si>
  <si>
    <t>1661-7649</t>
  </si>
  <si>
    <t>https://ovidsp.ovid.com/rss/journals/02273976/current.rss</t>
  </si>
  <si>
    <t>Current Opinion in Pediatrics</t>
  </si>
  <si>
    <t>1-2</t>
  </si>
  <si>
    <t>https://ovidsp.ovid.com/rss/journals/00001574/pap.rss</t>
  </si>
  <si>
    <t>1550-5057</t>
  </si>
  <si>
    <t>ASA Monitor</t>
  </si>
  <si>
    <t>Asia-Pacific Journal of Ophthalmology</t>
  </si>
  <si>
    <t>https://ovidsp.ovid.com/rss/journals/01253086/current.rss</t>
  </si>
  <si>
    <t>0882-7524</t>
  </si>
  <si>
    <t>2096-5664</t>
  </si>
  <si>
    <t>2023-03-01 - 2026-03-01</t>
  </si>
  <si>
    <t>https://ovidsp.ovid.com/rss/journals/00132585/current.rss</t>
  </si>
  <si>
    <t>https://ovidsp.ovid.com/rss/journals/00019464/current.rss</t>
  </si>
  <si>
    <t>0366-6999</t>
  </si>
  <si>
    <t>https://ovidsp.ovid.com/rss/journals/00001503/pap.rss</t>
  </si>
  <si>
    <t>Postgraduate Obstetrics &amp; Gynecology</t>
  </si>
  <si>
    <t>1945-7618</t>
  </si>
  <si>
    <t>Kidney360</t>
  </si>
  <si>
    <t>01330296</t>
  </si>
  <si>
    <t>https://ovidsp.ovid.com/rss/journals/00043426/pap.rss</t>
  </si>
  <si>
    <t>https://journals.lww.com/jwphpt/</t>
  </si>
  <si>
    <t>2000-06-01 - 2020-12-01</t>
  </si>
  <si>
    <t>0894-9115</t>
  </si>
  <si>
    <t>Cardiac Research</t>
  </si>
  <si>
    <t>Home Healthcare Now</t>
  </si>
  <si>
    <t>https://ovidsp.ovid.com/rss/journals/00003446/current.rss</t>
  </si>
  <si>
    <t>International Journal of Surgery Protocols</t>
  </si>
  <si>
    <t>02273970</t>
  </si>
  <si>
    <t>Chapman's Comprehensive Orthopaedic Surgery</t>
  </si>
  <si>
    <t>https://ovidsp.ovid.com/rss/journals/00002371/current.rss</t>
  </si>
  <si>
    <t>https://ovidsp.ovid.com/rss/journals/01787381/pap.rss</t>
  </si>
  <si>
    <t>https://ovidsp.ovid.com/rss/journals/00146965/current.rss</t>
  </si>
  <si>
    <t>https://ovidsp.ovid.com/rss/journals/00132583/current.rss</t>
  </si>
  <si>
    <t>http://journals.lww.com/pidj</t>
  </si>
  <si>
    <t>2010-07-01</t>
  </si>
  <si>
    <t>http://journals.lww.com/claojournal</t>
  </si>
  <si>
    <t>01367895</t>
  </si>
  <si>
    <t>2542-5641</t>
  </si>
  <si>
    <t>00006534</t>
  </si>
  <si>
    <t>1528-1159</t>
  </si>
  <si>
    <t>00152232</t>
  </si>
  <si>
    <t>2015-01-01 - 2019-12-01</t>
  </si>
  <si>
    <t>2014-06-01</t>
  </si>
  <si>
    <t>https://ovidsp.ovid.com/rss/journals/00006250/pap.rss</t>
  </si>
  <si>
    <t>00007611</t>
  </si>
  <si>
    <t>02276383</t>
  </si>
  <si>
    <t>https://ovidsp.ovid.com/rss/journals/01445473/current.rss</t>
  </si>
  <si>
    <t>1536-3686</t>
  </si>
  <si>
    <t>2019-03-01 - 2025-12-01</t>
  </si>
  <si>
    <t>1070-5295</t>
  </si>
  <si>
    <t>https://ovidsp.ovid.com/rss/journals/01300516/current.rss</t>
  </si>
  <si>
    <t>http://journals.lww.com/jaanp</t>
  </si>
  <si>
    <t>Lippincott's Bone and Joint Newsletter</t>
  </si>
  <si>
    <t>Critical Care Medicine</t>
  </si>
  <si>
    <t>Journal of Pancreatology</t>
  </si>
  <si>
    <t>Nursing;Clinical Medicine;Behavioral &amp; Social Sciences</t>
  </si>
  <si>
    <t>01713670</t>
  </si>
  <si>
    <t>2574-2167</t>
  </si>
  <si>
    <t>0193-1091</t>
  </si>
  <si>
    <t>01273116</t>
  </si>
  <si>
    <t>1538-2982</t>
  </si>
  <si>
    <t>1550-3267</t>
  </si>
  <si>
    <t>00132576</t>
  </si>
  <si>
    <t>00003086</t>
  </si>
  <si>
    <t>https://ovidsp.ovid.com/rss/journals/01182575/current.rss</t>
  </si>
  <si>
    <t>https://ovidsp.ovid.com/rss/journals/01337441/current.rss</t>
  </si>
  <si>
    <t>Soil Science</t>
  </si>
  <si>
    <t>https://ovidsp.ovid.com/rss/journals/00132979/current.rss</t>
  </si>
  <si>
    <t>Porto Biomedical Journal</t>
  </si>
  <si>
    <t>1473-5725</t>
  </si>
  <si>
    <t>https://ovidsp.ovid.com/rss/journals/01276162/current.rss</t>
  </si>
  <si>
    <t>00132579</t>
  </si>
  <si>
    <t>2014-05-01</t>
  </si>
  <si>
    <t>RETINAL Cases &amp; Brief Reports</t>
  </si>
  <si>
    <t>Nursing</t>
  </si>
  <si>
    <t>00002820</t>
  </si>
  <si>
    <t>http://journals.lww.com/jpojournal</t>
  </si>
  <si>
    <t>01182575</t>
  </si>
  <si>
    <t>01436319</t>
  </si>
  <si>
    <t>https://ovidsp.ovid.com/rss/journals/00006123/pap.rss</t>
  </si>
  <si>
    <t>02070903</t>
  </si>
  <si>
    <t>2022-04-01 - 2025-12-01</t>
  </si>
  <si>
    <t>00132985</t>
  </si>
  <si>
    <t>https://ovidsp.ovid.com/rss/journals/01586154/current.rss</t>
  </si>
  <si>
    <t>1537-453X</t>
  </si>
  <si>
    <t>2011-12-01</t>
  </si>
  <si>
    <t>00130990</t>
  </si>
  <si>
    <t>https://ovidsp.ovid.com/rss/journals/01709760/current.rss</t>
  </si>
  <si>
    <t>https://journals.lww.com/corneaopen/</t>
  </si>
  <si>
    <t>1473-5598</t>
  </si>
  <si>
    <t>Alzheimer Disease &amp; Associated Disorders</t>
  </si>
  <si>
    <t>0740-9303</t>
  </si>
  <si>
    <t>1533-4287</t>
  </si>
  <si>
    <t>00001813</t>
  </si>
  <si>
    <t>http://journals.lww.com/jorthotrauma</t>
  </si>
  <si>
    <t>Psychopharm Review</t>
  </si>
  <si>
    <t>http://journals.lww.com/cinjournal</t>
  </si>
  <si>
    <t>Subjects</t>
  </si>
  <si>
    <t>00001665</t>
  </si>
  <si>
    <t>0887-6274</t>
  </si>
  <si>
    <t>2005-01-01 - 2007-05-01</t>
  </si>
  <si>
    <t>https://ovidsp.ovid.com/rss/journals/02200519/current.rss</t>
  </si>
  <si>
    <t>02276190</t>
  </si>
  <si>
    <t>2836-9211</t>
  </si>
  <si>
    <t>0029-6562</t>
  </si>
  <si>
    <t>http://journals.lww.com/psychosomaticmedicine</t>
  </si>
  <si>
    <t>https://ovidsp.ovid.com/rss/journals/00005131/pap.rss</t>
  </si>
  <si>
    <t>2693-8499</t>
  </si>
  <si>
    <t>1542-1929</t>
  </si>
  <si>
    <t>2024-09-01 - 2025-12-01</t>
  </si>
  <si>
    <t>O&amp;G Open</t>
  </si>
  <si>
    <t>https://journals.lww.com/shockjournal/</t>
  </si>
  <si>
    <t>2022-11-01</t>
  </si>
  <si>
    <t>https://journals.lww.com/annalsofsurgery</t>
  </si>
  <si>
    <t>00129334</t>
  </si>
  <si>
    <t>https://ovidsp.ovid.com/rss/journals/00152192/pap.rss</t>
  </si>
  <si>
    <t>Clinical Medicine;Behavioral &amp; Social Sciences;Health Professions</t>
  </si>
  <si>
    <t>Health Professions;Life &amp; Biomedical Sciences;Clinical Medicine</t>
  </si>
  <si>
    <t>1550-3259</t>
  </si>
  <si>
    <t>2473-3717</t>
  </si>
  <si>
    <t>00132114</t>
  </si>
  <si>
    <t>https://journals.lww.com/advancesinneonatalcare</t>
  </si>
  <si>
    <t>2006-01-01</t>
  </si>
  <si>
    <t>https://ovidsp.ovid.com/rss/journals/00005768/current.rss</t>
  </si>
  <si>
    <t>https://ovidsp.ovid.com/rss/journals/01213011/pap.rss</t>
  </si>
  <si>
    <t>1988-12-01 - 2025-10-01</t>
  </si>
  <si>
    <t>https://ovidsp.ovid.com/rss/journals/02154767/current.rss</t>
  </si>
  <si>
    <t>https://journals.lww.com/anesthesia-analgesia</t>
  </si>
  <si>
    <t>2010-11-01</t>
  </si>
  <si>
    <t>Journal of Public Health Management &amp; Practice</t>
  </si>
  <si>
    <t>2006-01-01 - 2020-11-01</t>
  </si>
  <si>
    <t>https://ovidsp.ovid.com/rss/journals/00019501/pap.rss</t>
  </si>
  <si>
    <t>IsConsortia</t>
  </si>
  <si>
    <t>0276-2234</t>
  </si>
  <si>
    <t>02154767</t>
  </si>
  <si>
    <t>https://journals.lww.com/advancesinnursingscience</t>
  </si>
  <si>
    <t>2026-01-01 - 2026-01-01</t>
  </si>
  <si>
    <t>https://journals.lww.com/cmj</t>
  </si>
  <si>
    <t>https://ovidsp.ovid.com/rss/journals/00019048/current.rss</t>
  </si>
  <si>
    <t>Journal of Head and Neck Anesthesia</t>
  </si>
  <si>
    <t>2015-01-02 - 2026-03-01</t>
  </si>
  <si>
    <t>1536-0636</t>
  </si>
  <si>
    <t>https://ovidsp.ovid.com/rss/journals/00043764/pap.rss</t>
  </si>
  <si>
    <t>2014-05-01 - 2026-01-01</t>
  </si>
  <si>
    <t>2020-11-01</t>
  </si>
  <si>
    <t>Psychiatric Genetics</t>
  </si>
  <si>
    <t>1538-8670</t>
  </si>
  <si>
    <t>1751-4266</t>
  </si>
  <si>
    <t>01720610</t>
  </si>
  <si>
    <t>1537-5846</t>
  </si>
  <si>
    <t>1554-558X</t>
  </si>
  <si>
    <t>2001-01-01 - 2015-11-01</t>
  </si>
  <si>
    <t>0029-7844</t>
  </si>
  <si>
    <t>https://www.ahajournals.org/journal/str</t>
  </si>
  <si>
    <t>1536-4836</t>
  </si>
  <si>
    <t>Book Title</t>
  </si>
  <si>
    <t>https://ovidsp.ovid.com/rss/journals/01263942/pap.rss</t>
  </si>
  <si>
    <t>Journal of Christian Nursing</t>
  </si>
  <si>
    <t>http://journals.lww.com/co-obgyn</t>
  </si>
  <si>
    <t>2007-01-01</t>
  </si>
  <si>
    <t>European Journal of Anaesthesiology Intensive Care</t>
  </si>
  <si>
    <t>00001751</t>
  </si>
  <si>
    <t>Diseases of the Colon &amp; Rectum</t>
  </si>
  <si>
    <t>2639-8028</t>
  </si>
  <si>
    <t>02186170</t>
  </si>
  <si>
    <t>2026-02-28</t>
  </si>
  <si>
    <t>https://ovidsp.ovid.com/rss/journals/01933606/pap.rss</t>
  </si>
  <si>
    <t>2015-01-31</t>
  </si>
  <si>
    <t>1532-0979</t>
  </si>
  <si>
    <t>1537-8918</t>
  </si>
  <si>
    <t>02272794</t>
  </si>
  <si>
    <t>http://journals.lww.com/jcnjournal</t>
  </si>
  <si>
    <t>2096-6954</t>
  </si>
  <si>
    <t>S1</t>
  </si>
  <si>
    <t>2226-7190</t>
  </si>
  <si>
    <t>1095-4120</t>
  </si>
  <si>
    <t>1522-2179</t>
  </si>
  <si>
    <t>2019-08-01</t>
  </si>
  <si>
    <t>The Nurse Practitioner</t>
  </si>
  <si>
    <t>https://ovidsp.ovid.com/rss/journals/00063110/pap.rss</t>
  </si>
  <si>
    <t>http://journals.lww.com/jonajournal</t>
  </si>
  <si>
    <t>02075970</t>
  </si>
  <si>
    <t>https://ovidsp.ovid.com/rss/journals/00042737/current.rss</t>
  </si>
  <si>
    <t>http://journals.lww.com/jgpt</t>
  </si>
  <si>
    <t>2003-03-01 - 2011-12-01</t>
  </si>
  <si>
    <t>1527-6473</t>
  </si>
  <si>
    <t>2004-07-01 - 2012-07-01</t>
  </si>
  <si>
    <t>00001503</t>
  </si>
  <si>
    <t>American Journal of Gastroenterology</t>
  </si>
  <si>
    <t>https://ovidsp.ovid.com/rss/journals/01376517/current.rss</t>
  </si>
  <si>
    <t>http://journals.lww.com/ectjournal</t>
  </si>
  <si>
    <t>0022-3018</t>
  </si>
  <si>
    <t>http://journals.lww.com/bpmonitoring</t>
  </si>
  <si>
    <t>https://ovidsp.ovid.com/rss/journals/02276383/current.rss</t>
  </si>
  <si>
    <t>https://ovidsp.ovid.com/rss/journals/00003012/current.rss</t>
  </si>
  <si>
    <t>1080-9775</t>
  </si>
  <si>
    <t>Journal of the American Society of Nephrology</t>
  </si>
  <si>
    <t>1558-450X</t>
  </si>
  <si>
    <t>1533-4031</t>
  </si>
  <si>
    <t>https://journals.lww.com/jcso/</t>
  </si>
  <si>
    <t>https://ovidsp.ovid.com/rss/journals/00001721/pap.rss</t>
  </si>
  <si>
    <t>2001-03-01 - 2019-12-01</t>
  </si>
  <si>
    <t>2017-01-01</t>
  </si>
  <si>
    <t>1062-2551</t>
  </si>
  <si>
    <t>Strength &amp; Conditioning Journal</t>
  </si>
  <si>
    <t>https://journals.lww.com/jpancreatology</t>
  </si>
  <si>
    <t>00001163</t>
  </si>
  <si>
    <t>2326-3253</t>
  </si>
  <si>
    <t>1536-3678</t>
  </si>
  <si>
    <t>https://ovidsp.ovid.com/rss/journals/02276378/current.rss</t>
  </si>
  <si>
    <t>00004424</t>
  </si>
  <si>
    <t>http://journals.lww.com/jwocnonline</t>
  </si>
  <si>
    <t>Neurology</t>
  </si>
  <si>
    <t>2018-01-01</t>
  </si>
  <si>
    <t>http://journals.lww.com/iycjournal</t>
  </si>
  <si>
    <t>0955-8829</t>
  </si>
  <si>
    <t>Annals of Plastic Surgery</t>
  </si>
  <si>
    <t>https://journals.lww.com/cardioplus</t>
  </si>
  <si>
    <t>http://journals.lww.com/co-hematology</t>
  </si>
  <si>
    <t>2470-1122</t>
  </si>
  <si>
    <t>1538-9847</t>
  </si>
  <si>
    <t>2163-0755</t>
  </si>
  <si>
    <t>https://ovidsp.ovid.com/rss/journals/02275121/current.rss</t>
  </si>
  <si>
    <t>Current Opinion in Supportive &amp; Palliative Care</t>
  </si>
  <si>
    <t>http://journals.lww.com/spinejournal</t>
  </si>
  <si>
    <t>00131402</t>
  </si>
  <si>
    <t>0278-4807</t>
  </si>
  <si>
    <t>https://ovidsp.ovid.com/rss/journals/00003017/pap.rss</t>
  </si>
  <si>
    <t>https://ovidsp.ovid.com/rss/journals/01720096/current.rss</t>
  </si>
  <si>
    <t>Journal of Clinical Neuromuscular Disease</t>
  </si>
  <si>
    <t>https://ovidsp.ovid.com/rss/journals/00001751/current.rss</t>
  </si>
  <si>
    <t>1524-4040</t>
  </si>
  <si>
    <t>Beginning Issue</t>
  </si>
  <si>
    <t>https://ovidsp.ovid.com/rss/journals/02274341/pap.rss</t>
  </si>
  <si>
    <t>00002371</t>
  </si>
  <si>
    <t>http://journals.lww.com/dcrjournal</t>
  </si>
  <si>
    <t>https://ovidsp.ovid.com/rss/journals/00006534/current.rss</t>
  </si>
  <si>
    <t>1051-2144</t>
  </si>
  <si>
    <t>JONA: The Journal of Nursing Administration</t>
  </si>
  <si>
    <t>2019-01-01 - 2026-02-01</t>
  </si>
  <si>
    <t>1746-6318</t>
  </si>
  <si>
    <t>01787381</t>
  </si>
  <si>
    <t>1548-4688</t>
  </si>
  <si>
    <t>1537-4505</t>
  </si>
  <si>
    <t>1550-5022</t>
  </si>
  <si>
    <t>Pathology Case Reviews</t>
  </si>
  <si>
    <t>01271221</t>
  </si>
  <si>
    <t>1934-5917</t>
  </si>
  <si>
    <t>https://ovidsp.ovid.com/rss/journals/00004032/current.rss</t>
  </si>
  <si>
    <t>Clinical Journal of Sport Medicine</t>
  </si>
  <si>
    <t>1537-1921</t>
  </si>
  <si>
    <t>International Journal of Gynecological Pathology</t>
  </si>
  <si>
    <t>02245099</t>
  </si>
  <si>
    <t>https://ovidsp.ovid.com/rss/journals/01219183/current.rss</t>
  </si>
  <si>
    <t>https://journals.lww.com/hemodynamics/</t>
  </si>
  <si>
    <t>https://ovidsp.ovid.com/rss/journals/02276378/pap.rss</t>
  </si>
  <si>
    <t>Plastic Surgical Nursing</t>
  </si>
  <si>
    <t>http://journals.lww.com/rehabonc</t>
  </si>
  <si>
    <t>Acupuncture and Herbal Medicine</t>
  </si>
  <si>
    <t>http://journals.lww.com/nuclearmed</t>
  </si>
  <si>
    <t>https://ovidsp.ovid.com/rss/journals/01279778/pap.rss</t>
  </si>
  <si>
    <t>00002341</t>
  </si>
  <si>
    <t>01893697</t>
  </si>
  <si>
    <t>2002-05-01 - 2021-12-01</t>
  </si>
  <si>
    <t>http://journals.lww.com/behaviouralpharm</t>
  </si>
  <si>
    <t>02276245</t>
  </si>
  <si>
    <t>Product Name</t>
  </si>
  <si>
    <t>https://ovidsp.ovid.com/rss/journals/00001503/current.rss</t>
  </si>
  <si>
    <t>2015-01-01 - 2026-01-01</t>
  </si>
  <si>
    <t>https://ovidsp.ovid.com/rss/journals/00007611/current.rss</t>
  </si>
  <si>
    <t>2007-08-01 - 2014-01-01</t>
  </si>
  <si>
    <t>2014-07-01 - 2020-07-01</t>
  </si>
  <si>
    <t>https://ovidsp.ovid.com/rss/journals/01960901/current.rss</t>
  </si>
  <si>
    <t>2018-10-01</t>
  </si>
  <si>
    <t>https://ovidsp.ovid.com/rss/journals/00012272/current.rss</t>
  </si>
  <si>
    <t>2773-0387</t>
  </si>
  <si>
    <t>2005-01-01 - 2011-10-01</t>
  </si>
  <si>
    <t>1945-1474</t>
  </si>
  <si>
    <t>https://ovidsp.ovid.com/rss/journals/01337225/current.rss</t>
  </si>
  <si>
    <t>00001577</t>
  </si>
  <si>
    <t>1473-5849</t>
  </si>
  <si>
    <t>00002093</t>
  </si>
  <si>
    <t>1522-0443</t>
  </si>
  <si>
    <t>1531-6963</t>
  </si>
  <si>
    <t>2022-02-01 - 2026-02-01</t>
  </si>
  <si>
    <t>1539-736X</t>
  </si>
  <si>
    <t>Clinical Medicine;Nursing;Health Professions;Public Health</t>
  </si>
  <si>
    <t>1536-0652</t>
  </si>
  <si>
    <t>https://ovidsp.ovid.com/rss/journals/00003081/pap.rss</t>
  </si>
  <si>
    <t>https://ovidsp.ovid.com/rss/journals/02118581/current.rss</t>
  </si>
  <si>
    <t>https://ovidsp.ovid.com/rss/journals/00003643/current.rss</t>
  </si>
  <si>
    <t>2000-01-01 - 2007-04-01</t>
  </si>
  <si>
    <t>https://ovidsp.ovid.com/rss/journals/01592394/current.rss</t>
  </si>
  <si>
    <t>https://ovidsp.ovid.com/rss/journals/00043860/current.rss</t>
  </si>
  <si>
    <t>2001-03-01</t>
  </si>
  <si>
    <t>https://ovidsp.ovid.com/rss/journals/01586158/pap.rss</t>
  </si>
  <si>
    <t>02158034</t>
  </si>
  <si>
    <t>2022-10-01</t>
  </si>
  <si>
    <t>https://ovidsp.ovid.com/rss/journals/00042423/current.rss</t>
  </si>
  <si>
    <t>https://ovidsp.ovid.com/rss/journals/02274916/pap.rss</t>
  </si>
  <si>
    <t>http://journals.lww.com/amjdermatopathology</t>
  </si>
  <si>
    <t>Eye Banking and Corneal Transplantation</t>
  </si>
  <si>
    <t>American Journal of Surgical Pathology</t>
  </si>
  <si>
    <t>http://journals.lww.com/nsca-jscr</t>
  </si>
  <si>
    <t>1542-233X</t>
  </si>
  <si>
    <t>00004669</t>
  </si>
  <si>
    <t>01263393</t>
  </si>
  <si>
    <t>Topics in Language Disorders</t>
  </si>
  <si>
    <t>2026-02-01</t>
  </si>
  <si>
    <t>http://journals.lww.com/co-rheumatology</t>
  </si>
  <si>
    <t>https://ovidsp.ovid.com/rss/journals/00126548/current.rss</t>
  </si>
  <si>
    <t>0745-7472</t>
  </si>
  <si>
    <t>2352-6475</t>
  </si>
  <si>
    <t>01300407</t>
  </si>
  <si>
    <t>Journal of Forensic Nursing</t>
  </si>
  <si>
    <t>00019605</t>
  </si>
  <si>
    <t>https://ovidsp.ovid.com/rss/journals/00132114/current.rss</t>
  </si>
  <si>
    <t>0959-4973</t>
  </si>
  <si>
    <t>01337493</t>
  </si>
  <si>
    <t>https://journals.lww.com/cancercareresearchonline</t>
  </si>
  <si>
    <t>Science of Traditional Chinese Medicine</t>
  </si>
  <si>
    <t>https://ovidsp.ovid.com/rss/journals/02274272/current.rss</t>
  </si>
  <si>
    <t>00019464</t>
  </si>
  <si>
    <t>02200512</t>
  </si>
  <si>
    <t>2019-03-01</t>
  </si>
  <si>
    <t>https://journals.lww.com/neurosurgpraconline</t>
  </si>
  <si>
    <t>http://journals.lww.com/jaapa</t>
  </si>
  <si>
    <t>http://journals.lww.com/dccnjournal</t>
  </si>
  <si>
    <t>0090-3493</t>
  </si>
  <si>
    <t>https://ovidsp.ovid.com/rss/journals/00000434/current.rss</t>
  </si>
  <si>
    <t>https://ovidsp.ovid.com/rss/journals/01943953/current.rss</t>
  </si>
  <si>
    <t>https://ovidsp.ovid.com/rss/journals/00129191/pap.rss</t>
  </si>
  <si>
    <t>2641-7650</t>
  </si>
  <si>
    <t>2013-04-01</t>
  </si>
  <si>
    <t>https://ovidsp.ovid.com/rss/journals/01436319/pap.rss</t>
  </si>
  <si>
    <t>Journal of the American Academy of Orthopaedic Surgeons</t>
  </si>
  <si>
    <t>01241330</t>
  </si>
  <si>
    <t>1942-325X</t>
  </si>
  <si>
    <t>1056-9103</t>
  </si>
  <si>
    <t>2006-01-01 - 2026-01-20</t>
  </si>
  <si>
    <t>00004703</t>
  </si>
  <si>
    <t>1538-4683</t>
  </si>
  <si>
    <t>00019052</t>
  </si>
  <si>
    <t>https://ovidsp.ovid.com/rss/journals/00001665/pap.rss</t>
  </si>
  <si>
    <t>1, Dementia</t>
  </si>
  <si>
    <t>2589-9457</t>
  </si>
  <si>
    <t>00006842</t>
  </si>
  <si>
    <t>https://ovidsp.ovid.com/rss/journals/00000372/current.rss</t>
  </si>
  <si>
    <t>00043426</t>
  </si>
  <si>
    <t>1550-5154</t>
  </si>
  <si>
    <t>2021-10-01</t>
  </si>
  <si>
    <t>https://journals.lww.com/anatomicpathology</t>
  </si>
  <si>
    <t>2020-12-01 - 2025-12-01</t>
  </si>
  <si>
    <t>2007-10-01 - 2025-10-01</t>
  </si>
  <si>
    <t>https://ovidsp.ovid.com/rss/journals/00000478/current.rss</t>
  </si>
  <si>
    <t>https://ovidsp.ovid.com/rss/journals/00006223/pap.rss</t>
  </si>
  <si>
    <t>https://journals.lww.com/cld</t>
  </si>
  <si>
    <t>02196409</t>
  </si>
  <si>
    <t>2013-11-19</t>
  </si>
  <si>
    <t>Journal of Aging and Rehabilitation</t>
  </si>
  <si>
    <t>https://ovidsp.ovid.com/rss/journals/01626549/current.rss</t>
  </si>
  <si>
    <t>02275665</t>
  </si>
  <si>
    <t>00129039</t>
  </si>
  <si>
    <t>0277-1691</t>
  </si>
  <si>
    <t>Nursing;Health Professions;Clinical Medicine;Behavioral &amp; Social Sciences</t>
  </si>
  <si>
    <t>Orthopaedic Nursing</t>
  </si>
  <si>
    <t>00587875</t>
  </si>
  <si>
    <t>2004-01-01 - 2026-01-01</t>
  </si>
  <si>
    <t>2025-09-01 - 2026-03-01</t>
  </si>
  <si>
    <t>00063198</t>
  </si>
  <si>
    <t>https://ovidsp.ovid.com/rss/journals/01713670/current.rss</t>
  </si>
  <si>
    <t>00005721</t>
  </si>
  <si>
    <t>2017-05-19</t>
  </si>
  <si>
    <t>1537-4513</t>
  </si>
  <si>
    <t>https://ovidsp.ovid.com/rss/journals/01670164/current.rss</t>
  </si>
  <si>
    <t>2000-06-01</t>
  </si>
  <si>
    <t>https://journals.lww.com/cnmo/</t>
  </si>
  <si>
    <t>2020-09-01 - 2026-01-01</t>
  </si>
  <si>
    <t>https://ovidsp.ovid.com/rss/journals/02123149/pap.rss</t>
  </si>
  <si>
    <t>Applied Immunohistochemistry &amp; Molecular Morphology</t>
  </si>
  <si>
    <t>Circulation: Genomic and Precision Medicine</t>
  </si>
  <si>
    <t>http://journals.lww.com/ijebh</t>
  </si>
  <si>
    <t>Clinical Obstetrics &amp; Gynecology</t>
  </si>
  <si>
    <t>https://ovidsp.ovid.com/rss/journals/00130478/current.rss</t>
  </si>
  <si>
    <t>https://ovidsp.ovid.com/rss/journals/00002030/pap.rss</t>
  </si>
  <si>
    <t>2047-2889</t>
  </si>
  <si>
    <t>Nursing;Pharmacology;Clinical Medicine</t>
  </si>
  <si>
    <t>Clinical Nurse Specialist</t>
  </si>
  <si>
    <t>1996-01-01 - 2019-06-01</t>
  </si>
  <si>
    <t>https://ovidsp.ovid.com/rss/journals/00003086/pap.rss</t>
  </si>
  <si>
    <t>1533-3450</t>
  </si>
  <si>
    <t>https://ovidsp.ovid.com/rss/journals/01893697/current.rss</t>
  </si>
  <si>
    <t>1530-0358</t>
  </si>
  <si>
    <t>0362-5664</t>
  </si>
  <si>
    <t>Journal of Nursing Care Quality</t>
  </si>
  <si>
    <t>http://journals.lww.com/jbjsoa</t>
  </si>
  <si>
    <t>1040-8800</t>
  </si>
  <si>
    <t>2332-4252</t>
  </si>
  <si>
    <t>Current Opinion in Pulmonary Medicine</t>
  </si>
  <si>
    <t>https://ovidsp.ovid.com/rss/journals/02275438/current.rss</t>
  </si>
  <si>
    <t>1538-5159</t>
  </si>
  <si>
    <t>https://ovidsp.ovid.com/rss/journals/00130832/pap.rss</t>
  </si>
  <si>
    <t>Plastic and Aesthetic Nursing</t>
  </si>
  <si>
    <t>01933607</t>
  </si>
  <si>
    <t>02260475</t>
  </si>
  <si>
    <t>2015-01-06 - 2026-01-27</t>
  </si>
  <si>
    <t>1746-630X</t>
  </si>
  <si>
    <t>Annals of Surgery Open</t>
  </si>
  <si>
    <t>00002826</t>
  </si>
  <si>
    <t>https://ovidsp.ovid.com/rss/journals/00001432/current.rss</t>
  </si>
  <si>
    <t>2016-01-15 - 2026-02-28</t>
  </si>
  <si>
    <t>1473-6551</t>
  </si>
  <si>
    <t>1941-3084</t>
  </si>
  <si>
    <t>1549-8417</t>
  </si>
  <si>
    <t>https://ovidsp.ovid.com/rss/journals/00125480/pap.rss</t>
  </si>
  <si>
    <t>https://ovidsp.ovid.com/rss/journals/01960907/current.rss</t>
  </si>
  <si>
    <t>1931-7662</t>
  </si>
  <si>
    <t>01929425</t>
  </si>
  <si>
    <t>http://journals.lww.com/jcejournal</t>
  </si>
  <si>
    <t>Techniques in Hand &amp; Upper Extremity Surgery</t>
  </si>
  <si>
    <t>https://journals.lww.com/ajsp</t>
  </si>
  <si>
    <t>2380-5048</t>
  </si>
  <si>
    <t>https://ovidsp.ovid.com/rss/journals/02273970/current.rss</t>
  </si>
  <si>
    <t>2016-11-01</t>
  </si>
  <si>
    <t>Patient Education</t>
  </si>
  <si>
    <t>http://journals.lww.com/pec-online</t>
  </si>
  <si>
    <t>00115514</t>
  </si>
  <si>
    <t>Health Professions;Clinical Medicine</t>
  </si>
  <si>
    <t>1529-7535</t>
  </si>
  <si>
    <t>https://ovidsp.ovid.com/rss/journals/01709767/current.rss</t>
  </si>
  <si>
    <t>Precision Nutrition</t>
  </si>
  <si>
    <t>2011-06-01</t>
  </si>
  <si>
    <t>International Clinical Psychopharmacology</t>
  </si>
  <si>
    <t>https://ovidsp.ovid.com/rss/journals/02276750/current.rss</t>
  </si>
  <si>
    <t>00149619</t>
  </si>
  <si>
    <t>Public Health;Nursing;Clinical Medicine</t>
  </si>
  <si>
    <t>00145756</t>
  </si>
  <si>
    <t>https://ovidsp.ovid.com/rss/journals/02054229/current.rss</t>
  </si>
  <si>
    <t>01670164</t>
  </si>
  <si>
    <t>https://journals.lww.com/journalacs</t>
  </si>
  <si>
    <t>https://www.ahajournals.org/journal/atvb</t>
  </si>
  <si>
    <t>https://ovidsp.ovid.com/rss/journals/01720610/current.rss</t>
  </si>
  <si>
    <t>https://ovidsp.ovid.com/rss/journals/01881789/current.rss</t>
  </si>
  <si>
    <t>https://ovidsp.ovid.com/rss/journals/00019464/pap.rss</t>
  </si>
  <si>
    <t>http://journals.lww.com/nsca-scj</t>
  </si>
  <si>
    <t>2791-3716</t>
  </si>
  <si>
    <t>02071805</t>
  </si>
  <si>
    <t>http://journals.lww.com/cancernursingonline</t>
  </si>
  <si>
    <t>0148-5717</t>
  </si>
  <si>
    <t>00134384</t>
  </si>
  <si>
    <t>01960901</t>
  </si>
  <si>
    <t>https://www.ahajournals.org/journal/circoutcomes</t>
  </si>
  <si>
    <t>http://journals.lww.com/postgradobgyn</t>
  </si>
  <si>
    <t>2007-06-01</t>
  </si>
  <si>
    <t>https://ovidsp.ovid.com/rss/journals/01274882/current.rss</t>
  </si>
  <si>
    <t>1549-8425</t>
  </si>
  <si>
    <t>01394381</t>
  </si>
  <si>
    <t>0730-4625</t>
  </si>
  <si>
    <t>https://ovidsp.ovid.com/rss/journals/01938936/current.rss</t>
  </si>
  <si>
    <t>0893-7400</t>
  </si>
  <si>
    <t>00005141</t>
  </si>
  <si>
    <t>https://ovidsp.ovid.com/rss/journals/00129689/current.rss</t>
  </si>
  <si>
    <t>https://ovidsp.ovid.com/rss/journals/00003072/current.rss</t>
  </si>
  <si>
    <t>1523-9896</t>
  </si>
  <si>
    <t>2374-7994</t>
  </si>
  <si>
    <t>1948-965X</t>
  </si>
  <si>
    <t>2025-09-01</t>
  </si>
  <si>
    <t>2368-4739</t>
  </si>
  <si>
    <t>2025-12-01 - 2025-12-01</t>
  </si>
  <si>
    <t>http://journals.lww.com/anesthesiaclinics</t>
  </si>
  <si>
    <t>https://journals.lww.com/aosopen</t>
  </si>
  <si>
    <t>02014405</t>
  </si>
  <si>
    <t>1536-3732</t>
  </si>
  <si>
    <t>1050-6438</t>
  </si>
  <si>
    <t>1473-6578</t>
  </si>
  <si>
    <t>http://journals.lww.com/jpho-online</t>
  </si>
  <si>
    <t>http://journals.lww.com/neuroreport</t>
  </si>
  <si>
    <t>https://ovidsp.ovid.com/rss/journals/00008488/pap.rss</t>
  </si>
  <si>
    <t>https://ovidsp.ovid.com/rss/journals/00132577/pap.rss</t>
  </si>
  <si>
    <t>1350-7540</t>
  </si>
  <si>
    <t>http://journals.lww.com/co-endocrinology</t>
  </si>
  <si>
    <t>Endoscopic Ultrasound</t>
  </si>
  <si>
    <t>1539-0721</t>
  </si>
  <si>
    <t>01592394</t>
  </si>
  <si>
    <t>01241398</t>
  </si>
  <si>
    <t>https://journals.lww.com/clinorthop</t>
  </si>
  <si>
    <t>https://ovidsp.ovid.com/rss/journals/01741002/current.rss</t>
  </si>
  <si>
    <t>2007-02-01 - 2014-11-01</t>
  </si>
  <si>
    <t>https://ovidsp.ovid.com/rss/journals/01337495/current.rss</t>
  </si>
  <si>
    <t>02273826</t>
  </si>
  <si>
    <t>1783-3914</t>
  </si>
  <si>
    <t>2004-03-01 - 2012-12-01</t>
  </si>
  <si>
    <t>2163-0763</t>
  </si>
  <si>
    <t>00008506</t>
  </si>
  <si>
    <t>00076734</t>
  </si>
  <si>
    <t>02114886</t>
  </si>
  <si>
    <t>Nurse Educator</t>
  </si>
  <si>
    <t>0893-2190</t>
  </si>
  <si>
    <t>https://ovidsp.ovid.com/rss/journals/01893704/current.rss</t>
  </si>
  <si>
    <t>3064-7908</t>
  </si>
  <si>
    <t>Pediatric Critical Care Medicine</t>
  </si>
  <si>
    <t>2832-5877</t>
  </si>
  <si>
    <t>2005-01-01 - 2010-07-01</t>
  </si>
  <si>
    <t>1542-1937</t>
  </si>
  <si>
    <t>http://journals.lww.com/jcrjournal</t>
  </si>
  <si>
    <t>1082-9784</t>
  </si>
  <si>
    <t>1532-3145</t>
  </si>
  <si>
    <t>Nursing;Clinical Medicine;Health Professions</t>
  </si>
  <si>
    <t>1550-2430</t>
  </si>
  <si>
    <t>http://journals.lww.com/co-psychiatry</t>
  </si>
  <si>
    <t>https://ovidsp.ovid.com/rss/journals/00134372/current.rss</t>
  </si>
  <si>
    <t>2689-8381</t>
  </si>
  <si>
    <t>https://ovidsp.ovid.com/rss/journals/02107256/current.rss</t>
  </si>
  <si>
    <t>European Journal of Oncology Pharmacy</t>
  </si>
  <si>
    <t>American Journal of Forensic Medicine &amp; Pathology</t>
  </si>
  <si>
    <t>0009-7330</t>
  </si>
  <si>
    <t>1945-2810</t>
  </si>
  <si>
    <t>00043764</t>
  </si>
  <si>
    <t>https://journals.lww.com/ogopen/</t>
  </si>
  <si>
    <t>2381-2427</t>
  </si>
  <si>
    <t>2018-04-01</t>
  </si>
  <si>
    <t>2016-04-01 - 2026-12-01</t>
  </si>
  <si>
    <t>02107256</t>
  </si>
  <si>
    <t>Current Opinion in Otolaryngology &amp; Head &amp; Neck Surgery</t>
  </si>
  <si>
    <t>http://journals.lww.com/op-rs</t>
  </si>
  <si>
    <t>Journal of Computer Assisted Tomography</t>
  </si>
  <si>
    <t>2017-01-01 - 2025-12-01</t>
  </si>
  <si>
    <t>https://journals.lww.com/cjasn</t>
  </si>
  <si>
    <t>https://ovidsp.ovid.com/rss/journals/00003072/pap.rss</t>
  </si>
  <si>
    <t>https://ovidsp.ovid.com/rss/journals/00129334/pap.rss</t>
  </si>
  <si>
    <t>2832-918X</t>
  </si>
  <si>
    <t>Journal of Glaucoma</t>
  </si>
  <si>
    <t>Infectious Diseases in Clinical Practice</t>
  </si>
  <si>
    <t>2097-0617</t>
  </si>
  <si>
    <t>https://ovidsp.ovid.com/rss/journals/01787389/current.rss</t>
  </si>
  <si>
    <t>0887-9311</t>
  </si>
  <si>
    <t>https://ovidsp.ovid.com/rss/journals/00126097/current.rss</t>
  </si>
  <si>
    <t>https://ovidsp.ovid.com/rss/journals/00003086/current.rss</t>
  </si>
  <si>
    <t>Nursing Made Incredibly Easy!</t>
  </si>
  <si>
    <t>2013-06-01</t>
  </si>
  <si>
    <t>01823246</t>
  </si>
  <si>
    <t>Clinical Medicine;Pharmacology</t>
  </si>
  <si>
    <t>https://ovidsp.ovid.com/rss/journals/01269241/pap.rss</t>
  </si>
  <si>
    <t>Annals of Surgery</t>
  </si>
  <si>
    <t>1555-824X</t>
  </si>
  <si>
    <t>1067-151X</t>
  </si>
  <si>
    <t>https://ovidsp.ovid.com/rss/journals/00001573/pap.rss</t>
  </si>
  <si>
    <t>https://ovidsp.ovid.com/rss/journals/02273366/current.rss</t>
  </si>
  <si>
    <t>02024458</t>
  </si>
  <si>
    <t>0894-1912</t>
  </si>
  <si>
    <t>https://journals.lww.com/stcm/</t>
  </si>
  <si>
    <t>1550-2422</t>
  </si>
  <si>
    <t>2013-10-01 - 2026-01-01</t>
  </si>
  <si>
    <t>2163-0933</t>
  </si>
  <si>
    <t>3066-1250</t>
  </si>
  <si>
    <t>Rehabilitation Nursing Journal</t>
  </si>
  <si>
    <t>https://ovidsp.ovid.com/rss/journals/01412499/current.rss</t>
  </si>
  <si>
    <t>1050-642X</t>
  </si>
  <si>
    <t>https://ovidsp.ovid.com/rss/journals/02035266/pap.rss</t>
  </si>
  <si>
    <t>2018-01-01 - 2026-02-01</t>
  </si>
  <si>
    <t>2096-2746</t>
  </si>
  <si>
    <t>1057-3631</t>
  </si>
  <si>
    <t>http://journals.lww.com/hnpjournal</t>
  </si>
  <si>
    <t>Adverse Drug Reaction Bulletin</t>
  </si>
  <si>
    <t>00019501</t>
  </si>
  <si>
    <t>0148-7043</t>
  </si>
  <si>
    <t>https://ovidsp.ovid.com/rss/journals/01933607/current.rss</t>
  </si>
  <si>
    <t>2543-6368</t>
  </si>
  <si>
    <t>http://journals.lww.com/co-neurology</t>
  </si>
  <si>
    <t>ACADEMIC Physician &amp; Scientist</t>
  </si>
  <si>
    <t>http://journals.lww.com/jopte</t>
  </si>
  <si>
    <t>2003-01-01</t>
  </si>
  <si>
    <t>http://journals.lww.com/bronchology</t>
  </si>
  <si>
    <t>1536-4828</t>
  </si>
  <si>
    <t>https://ovidsp.ovid.com/rss/journals/02035738/current.rss</t>
  </si>
  <si>
    <t>0163-4356</t>
  </si>
  <si>
    <t>1538-9782</t>
  </si>
  <si>
    <t>2014-07-01</t>
  </si>
  <si>
    <t>2021-12-01</t>
  </si>
  <si>
    <t>2163-0402</t>
  </si>
  <si>
    <t>https://ovidsp.ovid.com/rss/journals/00127893/pap.rss</t>
  </si>
  <si>
    <t>https://ovidsp.ovid.com/rss/journals/00146965/pap.rss</t>
  </si>
  <si>
    <t>2021-01-01 - 2026-01-01</t>
  </si>
  <si>
    <t>https://ovidsp.ovid.com/rss/journals/00020840/pap.rss</t>
  </si>
  <si>
    <t>https://ovidsp.ovid.com/rss/journals/02275665/pap.rss</t>
  </si>
  <si>
    <t>https://ovidsp.ovid.com/rss/journals/00013611/current.rss</t>
  </si>
  <si>
    <t>2019-07-01</t>
  </si>
  <si>
    <t>1064-8011</t>
  </si>
  <si>
    <t>0009-7322</t>
  </si>
  <si>
    <t>2159-0524</t>
  </si>
  <si>
    <t>https://ovidsp.ovid.com/rss/journals/00006527/current.rss</t>
  </si>
  <si>
    <t>https://ovidsp.ovid.com/rss/journals/00130832/current.rss</t>
  </si>
  <si>
    <t>Behavioural Pharmacology</t>
  </si>
  <si>
    <t>01212983</t>
  </si>
  <si>
    <t>https://ovidsp.ovid.com/rss/journals/01266021/pap.rss</t>
  </si>
  <si>
    <t>1062-4821</t>
  </si>
  <si>
    <t>https://ovidsp.ovid.com/rss/journals/00139143/current.rss</t>
  </si>
  <si>
    <t>1973-01-01 - 2015-01-01</t>
  </si>
  <si>
    <t>The Endocrinologist</t>
  </si>
  <si>
    <t>https://ovidsp.ovid.com/rss/journals/02087401/current.rss</t>
  </si>
  <si>
    <t>https://ovidsp.ovid.com/rss/journals/00013611/pap.rss</t>
  </si>
  <si>
    <t>1550-5049</t>
  </si>
  <si>
    <t>JU Open Plus</t>
  </si>
  <si>
    <t>0748-8157</t>
  </si>
  <si>
    <t>1095-0680</t>
  </si>
  <si>
    <t>HEART Insight</t>
  </si>
  <si>
    <t>00001199</t>
  </si>
  <si>
    <t>The Journal of Aquatic Physical Therapy</t>
  </si>
  <si>
    <t>1744-1595</t>
  </si>
  <si>
    <t>1932-8087</t>
  </si>
  <si>
    <t>https://ovidsp.ovid.com/rss/journals/02158034/current.rss</t>
  </si>
  <si>
    <t>https://journals.lww.com/Kidney360</t>
  </si>
  <si>
    <t>https://ovidsp.ovid.com/rss/journals/00003246/current.rss</t>
  </si>
  <si>
    <t>02273827</t>
  </si>
  <si>
    <t>2015-11-30</t>
  </si>
  <si>
    <t>https://ovidsp.ovid.com/rss/journals/00045391/pap.rss</t>
  </si>
  <si>
    <t>http://journals.lww.com/healthcaremanagerjournal</t>
  </si>
  <si>
    <t>2641-5917</t>
  </si>
  <si>
    <t>1520-9229</t>
  </si>
  <si>
    <t>1068-9508</t>
  </si>
  <si>
    <t>2158-8686</t>
  </si>
  <si>
    <t>1538-9243</t>
  </si>
  <si>
    <t>https://ovidsp.ovid.com/rss/journals/02045117/current.rss</t>
  </si>
  <si>
    <t>https://ovidsp.ovid.com/rss/journals/01938924/current.rss</t>
  </si>
  <si>
    <t>01356735</t>
  </si>
  <si>
    <t>http://journals.lww.com/poctjournal</t>
  </si>
  <si>
    <t>http://journals.lww.com/techhandsurg</t>
  </si>
  <si>
    <t>02009842</t>
  </si>
  <si>
    <t>JCR: Journal of Clinical Rheumatology</t>
  </si>
  <si>
    <t>0038-075X</t>
  </si>
  <si>
    <t>01337496</t>
  </si>
  <si>
    <t>https://ovidsp.ovid.com/rss/journals/01436970/current.rss</t>
  </si>
  <si>
    <t>1527-7941</t>
  </si>
  <si>
    <t>http://journals.lww.com/jpnnjournal</t>
  </si>
  <si>
    <t>00041444</t>
  </si>
  <si>
    <t>Latest Year Coverage</t>
  </si>
  <si>
    <t>2381-5949</t>
  </si>
  <si>
    <t>https://ovidsp.ovid.com/rss/journals/00002060/pap.rss</t>
  </si>
  <si>
    <t>2374-8907</t>
  </si>
  <si>
    <t>https://ovidsp.ovid.com/rss/journals/00124784/current.rss</t>
  </si>
  <si>
    <t>Journal of the Association of Nurses in AIDS Care</t>
  </si>
  <si>
    <t>https://ovidsp.ovid.com/rss/journals/01607935/current.rss</t>
  </si>
  <si>
    <t>2016-01-01 - 2025-12-01</t>
  </si>
  <si>
    <t>https://ovidsp.ovid.com/rss/journals/00002508/current.rss</t>
  </si>
  <si>
    <t>https://ovidsp.ovid.com/rss/journals/00060867/current.rss</t>
  </si>
  <si>
    <t>2096-5540</t>
  </si>
  <si>
    <t>0890-5339</t>
  </si>
  <si>
    <t>MCN: The American Journal of Maternal/Child Nursing</t>
  </si>
  <si>
    <t>2023-10-01 - 2025-12-01</t>
  </si>
  <si>
    <t>Gastroenterology Nursing</t>
  </si>
  <si>
    <t>Journal of Clinical Neurophysiology</t>
  </si>
  <si>
    <t>1538-9839</t>
  </si>
  <si>
    <t>01943953</t>
  </si>
  <si>
    <t>1945-0605</t>
  </si>
  <si>
    <t>https://ovidsp.ovid.com/rss/journals/00003643/pap.rss</t>
  </si>
  <si>
    <t>2637-5974</t>
  </si>
  <si>
    <t>1473-5628</t>
  </si>
  <si>
    <t>eISSN</t>
  </si>
  <si>
    <t>http://journals.lww.com/soilsci</t>
  </si>
  <si>
    <t>0883-5691</t>
  </si>
  <si>
    <t>02224449</t>
  </si>
  <si>
    <t>https://ovidsp.ovid.com/rss/journals/01337441/pap.rss</t>
  </si>
  <si>
    <t>1078-4659</t>
  </si>
  <si>
    <t>2010-10-01</t>
  </si>
  <si>
    <t>http://journals.lww.com/qmhcjournal</t>
  </si>
  <si>
    <t>1537-7385</t>
  </si>
  <si>
    <t>1531-6971</t>
  </si>
  <si>
    <t>1473-5733</t>
  </si>
  <si>
    <t>https://ovidsp.ovid.com/rss/journals/00006479/pap.rss</t>
  </si>
  <si>
    <t>http://journals.lww.com/jnnonline</t>
  </si>
  <si>
    <t>http://journals.lww.com/jwhpt</t>
  </si>
  <si>
    <t>Female Pelvic Medicine &amp; Reconstructive Surgery</t>
  </si>
  <si>
    <t>1932-0620</t>
  </si>
  <si>
    <t>https://ovidsp.ovid.com/rss/journals/00000434/pap.rss</t>
  </si>
  <si>
    <t>Public Health</t>
  </si>
  <si>
    <t>https://ovidsp.ovid.com/rss/journals/01893697/pap.rss</t>
  </si>
  <si>
    <t>2023-12-01</t>
  </si>
  <si>
    <t>Formosan Journal of Surgery</t>
  </si>
  <si>
    <t>2169-9798</t>
  </si>
  <si>
    <t>https://ovidsp.ovid.com/rss/journals/00124509/pap.rss</t>
  </si>
  <si>
    <t>Clinical Medicine;Behavioral &amp; Social Sciences;Nursing</t>
  </si>
  <si>
    <t>Obstetrics &amp; Gynecology</t>
  </si>
  <si>
    <t>https://ovidsp.ovid.com/rss/journals/00045415/current.rss</t>
  </si>
  <si>
    <t>Hospital Food &amp; Nutrition Focus</t>
  </si>
  <si>
    <t>2019-06-01</t>
  </si>
  <si>
    <t>2474-7661</t>
  </si>
  <si>
    <t>http://journals.lww.com/sportsmedarthro</t>
  </si>
  <si>
    <t>1533-7006</t>
  </si>
  <si>
    <t>https://ovidsp.ovid.com/rss/journals/02054639/current.rss</t>
  </si>
  <si>
    <t>2015-01-15</t>
  </si>
  <si>
    <t>1528-3976</t>
  </si>
  <si>
    <t>00130561</t>
  </si>
  <si>
    <t>Clinical Pulmonary Medicine</t>
  </si>
  <si>
    <t>http://journals.lww.com/co-hivandaids</t>
  </si>
  <si>
    <t>https://ovidsp.ovid.com/rss/journals/00008505/current.rss</t>
  </si>
  <si>
    <t>http://journals.lww.com/journalofchristiannursing</t>
  </si>
  <si>
    <t>2017-02-01 - 2026-02-01</t>
  </si>
  <si>
    <t>2994-9726</t>
  </si>
  <si>
    <t>1872-6623</t>
  </si>
  <si>
    <t>https://ovidsp.ovid.com/rss/journals/01202412/pap.rss</t>
  </si>
  <si>
    <t>https://journals.lww.com/mfm</t>
  </si>
  <si>
    <t>2159-7774</t>
  </si>
  <si>
    <t>https://ovidsp.ovid.com/rss/journals/00128360/pap.rss</t>
  </si>
  <si>
    <t>00000637</t>
  </si>
  <si>
    <t>Suppl_1</t>
  </si>
  <si>
    <t>2331-2637</t>
  </si>
  <si>
    <t>0951-7375</t>
  </si>
  <si>
    <t>http://journals.lww.com/co-otolaryngology</t>
  </si>
  <si>
    <t>1942-0080</t>
  </si>
  <si>
    <t>Authors</t>
  </si>
  <si>
    <t>http://journals.lww.com/jcge</t>
  </si>
  <si>
    <t>2016-02-01</t>
  </si>
  <si>
    <t>00000539</t>
  </si>
  <si>
    <t>01845215</t>
  </si>
  <si>
    <t>1938-9574</t>
  </si>
  <si>
    <t>0960-8931</t>
  </si>
  <si>
    <t>Edition</t>
  </si>
  <si>
    <t>Contemporary Diagnostic Radiology</t>
  </si>
  <si>
    <t>https://journals.lww.com/janac/</t>
  </si>
  <si>
    <t>2204-2113</t>
  </si>
  <si>
    <t>2025-11-01</t>
  </si>
  <si>
    <t>Surgical Laparoscopy, Endoscopy &amp; Percutaneous Techniques</t>
  </si>
  <si>
    <t>Eye &amp; Contact Lens: Science &amp; Clinical Practice</t>
  </si>
  <si>
    <t>0342-5282</t>
  </si>
  <si>
    <t>Pharmacology;Clinical Medicine;Nursing</t>
  </si>
  <si>
    <t>ASCO Educational Book</t>
  </si>
  <si>
    <t>1922-05-01 - 2026-01-23</t>
  </si>
  <si>
    <t>00024665</t>
  </si>
  <si>
    <t>Digital Medicine</t>
  </si>
  <si>
    <t>https://ovidsp.ovid.com/rss/journals/01213011/current.rss</t>
  </si>
  <si>
    <t>https://ovidsp.ovid.com/rss/journals/01517119/current.rss</t>
  </si>
  <si>
    <t>https://ovidsp.ovid.com/rss/journals/01241398/pap.rss</t>
  </si>
  <si>
    <t>00006254</t>
  </si>
  <si>
    <t>https://ovidsp.ovid.com/rss/journals/00004623/pap.rss</t>
  </si>
  <si>
    <t>2376-7839</t>
  </si>
  <si>
    <t>https://journals.lww.com/spinejournal/Pages/affiliatesocietymeetingabstracts.aspx</t>
  </si>
  <si>
    <t>0277-3732</t>
  </si>
  <si>
    <t>https://ovidsp.ovid.com/rss/journals/02273800/current.rss</t>
  </si>
  <si>
    <t>Current Opinion in Lipidology</t>
  </si>
  <si>
    <t>http://journals.lww.com/jclinrheum</t>
  </si>
  <si>
    <t>2770-3517</t>
  </si>
  <si>
    <t>https://ovidsp.ovid.com/rss/journals/00132589/current.rss</t>
  </si>
  <si>
    <t>2352-0787</t>
  </si>
  <si>
    <t>http://journals.lww.com/immunotherapy-journal</t>
  </si>
  <si>
    <t>0025-7079</t>
  </si>
  <si>
    <t>2026-02-24</t>
  </si>
  <si>
    <t>0885-9701</t>
  </si>
  <si>
    <t>1536-0229</t>
  </si>
  <si>
    <t>https://ovidsp.ovid.com/rss/journals/01075922/current.rss</t>
  </si>
  <si>
    <t>International Journal of Surgery: Global Health</t>
  </si>
  <si>
    <t>Traditional Chinese Medicine</t>
  </si>
  <si>
    <t>https://ovidsp.ovid.com/rss/journals/00003453/current.rss</t>
  </si>
  <si>
    <t>1093-1139</t>
  </si>
  <si>
    <t>http://journals.lww.com/theendocrinologist</t>
  </si>
  <si>
    <t>Browse Books@Ovid</t>
  </si>
  <si>
    <t>02276230</t>
  </si>
  <si>
    <t>Journal of Cataract &amp; Refractive Surgery Online Case Reports</t>
  </si>
  <si>
    <t>02035738</t>
  </si>
  <si>
    <t>1543-9003</t>
  </si>
  <si>
    <t>https://ovidsp.ovid.com/rss/journals/01222929/current.rss</t>
  </si>
  <si>
    <t>https://ovidsp.ovid.com/rss/journals/00075197/pap.rss</t>
  </si>
  <si>
    <t>2770-3509</t>
  </si>
  <si>
    <t>2097-5643</t>
  </si>
  <si>
    <t>https://ovidsp.ovid.com/rss/journals/00006216/current.rss</t>
  </si>
  <si>
    <t>2018-05-01 - 2026-03-01</t>
  </si>
  <si>
    <t>The American Journal of Dermatopathology</t>
  </si>
  <si>
    <t>Current Orthopaedic Practice</t>
  </si>
  <si>
    <t>https://ovidsp.ovid.com/rss/journals/00000542/pap.rss</t>
  </si>
  <si>
    <t>2691-3623</t>
  </si>
  <si>
    <t>00135124</t>
  </si>
  <si>
    <t>1525-3279</t>
  </si>
  <si>
    <t>Cardiopulmonary Physical Therapy Journal</t>
  </si>
  <si>
    <t>1548-8748</t>
  </si>
  <si>
    <t>1532-5520</t>
  </si>
  <si>
    <t>https://journals.lww.com/md-cases</t>
  </si>
  <si>
    <t>1935-3227</t>
  </si>
  <si>
    <t>Critical Care Explorations</t>
  </si>
  <si>
    <t>2018-07-01 - 2026-01-01</t>
  </si>
  <si>
    <t>http://journals.lww.com/jaaos</t>
  </si>
  <si>
    <t>Science</t>
  </si>
  <si>
    <t>https://ovidsp.ovid.com/rss/journals/00006454/current.rss</t>
  </si>
  <si>
    <t>http://journals.lww.com/jneuro-ophthalmology</t>
  </si>
  <si>
    <t>0268-1315</t>
  </si>
  <si>
    <t>https://ovidsp.ovid.com/rss/journals/02233705/current.rss</t>
  </si>
  <si>
    <t>http://journals.lww.com/investigativeradiology</t>
  </si>
  <si>
    <t>https://ovidsp.ovid.com/rss/journals/00006842/current.rss</t>
  </si>
  <si>
    <t>https://ovidsp.ovid.com/rss/journals/00062752/current.rss</t>
  </si>
  <si>
    <t>Health Professions</t>
  </si>
  <si>
    <t>https://ovidsp.ovid.com/rss/journals/01845228/current.rss</t>
  </si>
  <si>
    <t>http://journals.lww.com/jcehp</t>
  </si>
  <si>
    <t>00008469</t>
  </si>
  <si>
    <t>http://journals.lww.com/cardiovascularendocrinology</t>
  </si>
  <si>
    <t>00000478</t>
  </si>
  <si>
    <t>Journal of Ambulatory Care Management</t>
  </si>
  <si>
    <t>http://journals.lww.com/nursing</t>
  </si>
  <si>
    <t>1744-6880</t>
  </si>
  <si>
    <t>http://journals.lww.com/jncqjournal</t>
  </si>
  <si>
    <t>1538-1951</t>
  </si>
  <si>
    <t>1536-3724</t>
  </si>
  <si>
    <t>2024-01-01</t>
  </si>
  <si>
    <t>https://ovidsp.ovid.com/rss/journals/00001703/current.rss</t>
  </si>
  <si>
    <t>https://ovidsp.ovid.com/rss/journals/02205615/current.rss</t>
  </si>
  <si>
    <t>00004714</t>
  </si>
  <si>
    <t>http://journals.lww.com/homehealthcarenurseonline</t>
  </si>
  <si>
    <t>Journal of Cataract &amp; Refractive Surgery</t>
  </si>
  <si>
    <t>1933-3161</t>
  </si>
  <si>
    <t>https://ovidsp.ovid.com/rss/journals/00002142/current.rss</t>
  </si>
  <si>
    <t>https://ovidsp.ovid.com/rss/journals/01861735/current.rss</t>
  </si>
  <si>
    <t>Nursing Administration Quarterly</t>
  </si>
  <si>
    <t>http://journals.lww.com/jcraniofacialsurgery</t>
  </si>
  <si>
    <t>2018-01-01 - 2025-12-01</t>
  </si>
  <si>
    <t>00011363</t>
  </si>
  <si>
    <t>2011-04-01 - 2025-12-01</t>
  </si>
  <si>
    <t>1744-6872</t>
  </si>
  <si>
    <t>https://ovidsp.ovid.com/rss/journals/02275074/pap.rss</t>
  </si>
  <si>
    <t>1534-6080</t>
  </si>
  <si>
    <t>2014-12-01 - 2026-02-01</t>
  </si>
  <si>
    <t>https://journals.lww.com/apallergy</t>
  </si>
  <si>
    <t>00004397</t>
  </si>
  <si>
    <t>1873-4502</t>
  </si>
  <si>
    <t>https://ovidsp.ovid.com/rss/journals/00139703/pap.rss</t>
  </si>
  <si>
    <t>00008486</t>
  </si>
  <si>
    <t>http://journals.lww.com/epidem</t>
  </si>
  <si>
    <t>Hypertension</t>
  </si>
  <si>
    <t>1555-9203</t>
  </si>
  <si>
    <t>00020840</t>
  </si>
  <si>
    <t>http://journals.lww.com/plasreconsurg</t>
  </si>
  <si>
    <t>00055735</t>
  </si>
  <si>
    <t>2013-07-01</t>
  </si>
  <si>
    <t>00008877</t>
  </si>
  <si>
    <t>https://ovidsp.ovid.com/rss/journals/00128488/current.rss</t>
  </si>
  <si>
    <t>2012-03-01</t>
  </si>
  <si>
    <t>https://journals.lww.com/ebp</t>
  </si>
  <si>
    <t>0265-0215</t>
  </si>
  <si>
    <t>https://journals.lww.com/ijsgh</t>
  </si>
  <si>
    <t>2690-2702</t>
  </si>
  <si>
    <t>02233705</t>
  </si>
  <si>
    <t>1944-0499</t>
  </si>
  <si>
    <t>https://ovidsp.ovid.com/rss/journals/01929425/pap.rss</t>
  </si>
  <si>
    <t>2022-04-01 - 2026-01-01</t>
  </si>
  <si>
    <t>https://ovidsp.ovid.com/rss/journals/02123148/pap.rss</t>
  </si>
  <si>
    <t>http://journals.lww.com/co-lipidology</t>
  </si>
  <si>
    <t>2001-05-01</t>
  </si>
  <si>
    <t>https://ovidsp.ovid.com/rss/journals/00134384/current.rss</t>
  </si>
  <si>
    <t>https://journals.lww.com/imd</t>
  </si>
  <si>
    <t>https://ovidsp.ovid.com/rss/journals/00003727/pap.rss</t>
  </si>
  <si>
    <t>2379-2868</t>
  </si>
  <si>
    <t>https://ovidsp.ovid.com/rss/journals/02273501/pap.rss</t>
  </si>
  <si>
    <t>2024-09-01</t>
  </si>
  <si>
    <t>2016-09-01 - 2025-11-01</t>
  </si>
  <si>
    <t>0039-6206</t>
  </si>
  <si>
    <t>2021-11-01 - 2026-01-01</t>
  </si>
  <si>
    <t>https://ovidsp.ovid.com/rss/journals/00002820/current.rss</t>
  </si>
  <si>
    <t>Journal of Cardiopulmonary Rehabilitation and Prevention</t>
  </si>
  <si>
    <t>https://ovidsp.ovid.com/rss/journals/00007632/current.rss</t>
  </si>
  <si>
    <t>https://ovidsp.ovid.com/rss/journals/00005650/current.rss</t>
  </si>
  <si>
    <t>00004010</t>
  </si>
  <si>
    <t>0195-9131</t>
  </si>
  <si>
    <t>00019048</t>
  </si>
  <si>
    <t>2015-11-01</t>
  </si>
  <si>
    <t>http://journals.lww.com/clinicalobgyn</t>
  </si>
  <si>
    <t>1550-5111</t>
  </si>
  <si>
    <t>2024-03-01 - 2025-12-01</t>
  </si>
  <si>
    <t>https://ovidsp.ovid.com/rss/journals/01244665/pap.rss</t>
  </si>
  <si>
    <t>1538-005X</t>
  </si>
  <si>
    <t>0143-3636</t>
  </si>
  <si>
    <t>2328-5273</t>
  </si>
  <si>
    <t>2018-12-01</t>
  </si>
  <si>
    <t>00132587</t>
  </si>
  <si>
    <t>https://ovidsp.ovid.com/rss/journals/00001622/pap.rss</t>
  </si>
  <si>
    <t>00130478</t>
  </si>
  <si>
    <t>1536-0903</t>
  </si>
  <si>
    <t>Maternal-Fetal Medicine</t>
  </si>
  <si>
    <t>01893704</t>
  </si>
  <si>
    <t>1524-4563</t>
  </si>
  <si>
    <t>1548-7822</t>
  </si>
  <si>
    <t>Critical Care Nursing Quarterly</t>
  </si>
  <si>
    <t>Clinical Medicine;Behavioral &amp; Social Sciences</t>
  </si>
  <si>
    <t>https://ovidsp.ovid.com/rss/journals/02211145/pap.rss</t>
  </si>
  <si>
    <t>00019616</t>
  </si>
  <si>
    <t>2012-07-01</t>
  </si>
  <si>
    <t>01445442</t>
  </si>
  <si>
    <t>1544-5186</t>
  </si>
  <si>
    <t>https://ovidsp.ovid.com/rss/journals/00002093/current.rss</t>
  </si>
  <si>
    <t>2024-03-01 - 2025-12-30</t>
  </si>
  <si>
    <t>00001782</t>
  </si>
  <si>
    <t>Journal of Women's Health Physical Therapy</t>
  </si>
  <si>
    <t>https://ovidsp.ovid.com/rss/journals/00000637/current.rss</t>
  </si>
  <si>
    <t>2405-8572</t>
  </si>
  <si>
    <t>2007-07-01</t>
  </si>
  <si>
    <t>Journal of Translational Critical Care Medicine</t>
  </si>
  <si>
    <t>00149078</t>
  </si>
  <si>
    <t>http://journals.lww.com/cardiologyinreview</t>
  </si>
  <si>
    <t>Beginning Date</t>
  </si>
  <si>
    <t>1527-8557</t>
  </si>
  <si>
    <t>1550-5081</t>
  </si>
  <si>
    <t>00124509</t>
  </si>
  <si>
    <t>https://ovidsp.ovid.com/rss/journals/00008877/current.rss</t>
  </si>
  <si>
    <t>https://ovidsp.ovid.com/rss/journals/00003453/pap.rss</t>
  </si>
  <si>
    <t>https://ovidsp.ovid.com/rss/journals/00013542/current.rss</t>
  </si>
  <si>
    <t>2765-8619</t>
  </si>
  <si>
    <t>02274272</t>
  </si>
  <si>
    <t>0002-0443</t>
  </si>
  <si>
    <t>01276162</t>
  </si>
  <si>
    <t>http://journals.lww.com/clinpulm</t>
  </si>
  <si>
    <t>Journal of Healthcare Management</t>
  </si>
  <si>
    <t>1993-01-01</t>
  </si>
  <si>
    <t>02273366</t>
  </si>
  <si>
    <t>Journal of Neurologic Physical Therapy</t>
  </si>
  <si>
    <t>https://journals.lww.com/ijsopen/</t>
  </si>
  <si>
    <t>Current Opinion in Hematology</t>
  </si>
  <si>
    <t>1473-6527</t>
  </si>
  <si>
    <t>2013-01-01 - 2026-02-01</t>
  </si>
  <si>
    <t>01434893</t>
  </si>
  <si>
    <t>http://journals.lww.com/surgical-laparoscopy</t>
  </si>
  <si>
    <t>1473-5857</t>
  </si>
  <si>
    <t>https://ovidsp.ovid.com/rss/journals/00005721/current.rss</t>
  </si>
  <si>
    <t>00001504</t>
  </si>
  <si>
    <t>https://journals.lww.com/anti-cancerdrugs</t>
  </si>
  <si>
    <t>https://ovidsp.ovid.com/rss/journals/00005217/current.rss</t>
  </si>
  <si>
    <t>https://ovidsp.ovid.com/rss/journals/00002826/pap.rss</t>
  </si>
  <si>
    <t>https://ovidsp.ovid.com/rss/journals/00041433/current.rss</t>
  </si>
  <si>
    <t>https://journals.lww.com/poijournal</t>
  </si>
  <si>
    <t>https://journals.lww.com/actjournalonline</t>
  </si>
  <si>
    <t>2163-8241</t>
  </si>
  <si>
    <t>1550-3240</t>
  </si>
  <si>
    <t>1528-1140</t>
  </si>
  <si>
    <t>2025-03-01</t>
  </si>
  <si>
    <t>01881789</t>
  </si>
  <si>
    <t>https://ovidsp.ovid.com/rss/journals/00002727/current.rss</t>
  </si>
  <si>
    <t>2016-09-01 - 2024-12-01</t>
  </si>
  <si>
    <t>https://ovidsp.ovid.com/rss/journals/00004424/pap.rss</t>
  </si>
  <si>
    <t>01859447</t>
  </si>
  <si>
    <t>Pharmacology;Nursing;Clinical Medicine;Life &amp; Biomedical Sciences;Health Professions</t>
  </si>
  <si>
    <t>2015-01-16</t>
  </si>
  <si>
    <t>https://ovidsp.ovid.com/rss/journals/01821703/current.rss</t>
  </si>
  <si>
    <t>2005-01-01 - 2009-11-01</t>
  </si>
  <si>
    <t>http://journals.lww.com/psychopharmacology</t>
  </si>
  <si>
    <t>0025-7974</t>
  </si>
  <si>
    <t>Journal of Clinical Gastroenterology</t>
  </si>
  <si>
    <t>2475-5028</t>
  </si>
  <si>
    <t>0044-6394</t>
  </si>
  <si>
    <t>1449-7700</t>
  </si>
  <si>
    <t>1931-4485</t>
  </si>
  <si>
    <t>01253086</t>
  </si>
  <si>
    <t>2163-8292</t>
  </si>
  <si>
    <t>00007890</t>
  </si>
  <si>
    <t>Clinical Medicine</t>
  </si>
  <si>
    <t>https://ovidsp.ovid.com/rss/journals/01787401/current.rss</t>
  </si>
  <si>
    <t>1527-4268</t>
  </si>
  <si>
    <t>00002480</t>
  </si>
  <si>
    <t>0363-9568</t>
  </si>
  <si>
    <t>Dimensions of Critical Care Nursing</t>
  </si>
  <si>
    <t>00062706</t>
  </si>
  <si>
    <t>https://ovidsp.ovid.com/rss/journals/00152258/current.rss</t>
  </si>
  <si>
    <t>00007435</t>
  </si>
  <si>
    <t>0894-7376</t>
  </si>
  <si>
    <t>Nursing;Public Health</t>
  </si>
  <si>
    <t>1473-5571</t>
  </si>
  <si>
    <t>2021-09-01</t>
  </si>
  <si>
    <t>http://journals.lww.com/intjgynpathology</t>
  </si>
  <si>
    <t>http://journals.lww.com/co-pulmonarymedicine</t>
  </si>
  <si>
    <t>00006982</t>
  </si>
  <si>
    <t>1535-2811</t>
  </si>
  <si>
    <t>00001574</t>
  </si>
  <si>
    <t>1995-01-01</t>
  </si>
  <si>
    <t>https://ovidsp.ovid.com/rss/journals/00006982/current.rss</t>
  </si>
  <si>
    <t>0743-2550</t>
  </si>
  <si>
    <t>Journal of Orthopaedic Trauma</t>
  </si>
  <si>
    <t>2048-7940</t>
  </si>
  <si>
    <t>00130832</t>
  </si>
  <si>
    <t>https://ovidsp.ovid.com/rss/journals/00001622/current.rss</t>
  </si>
  <si>
    <t>2380-4017</t>
  </si>
  <si>
    <t>00013644</t>
  </si>
  <si>
    <t>2025-06-01</t>
  </si>
  <si>
    <t>https://journals.lww.com/juop/</t>
  </si>
  <si>
    <t>1936-3001</t>
  </si>
  <si>
    <t>1539-073X</t>
  </si>
  <si>
    <t>https://ovidsp.ovid.com/rss/journals/02276245/current.rss</t>
  </si>
  <si>
    <t>00000446</t>
  </si>
  <si>
    <t>https://journals.lww.com/ahm</t>
  </si>
  <si>
    <t>Cardiovascular Endocrinology</t>
  </si>
  <si>
    <t>Clinical and Translational Gastroenterology</t>
  </si>
  <si>
    <t>01261775</t>
  </si>
  <si>
    <t>1536-9943</t>
  </si>
  <si>
    <t>JONA's Healthcare Law, Ethics, and Regulation</t>
  </si>
  <si>
    <t>2576-3342</t>
  </si>
  <si>
    <t>Biopsychosocial Science and Medicine</t>
  </si>
  <si>
    <t>2472-7245</t>
  </si>
  <si>
    <t>Anti-Cancer Drugs</t>
  </si>
  <si>
    <t>Cancer Nursing</t>
  </si>
  <si>
    <t>2152-0895</t>
  </si>
  <si>
    <t>http://journals.lww.com/ijsoncology</t>
  </si>
  <si>
    <t>https://ovidsp.ovid.com/rss/journals/02211144/pap.rss</t>
  </si>
  <si>
    <t>2015-04-01</t>
  </si>
  <si>
    <t>https://ovidsp.ovid.com/rss/journals/00006247/current.rss</t>
  </si>
  <si>
    <t>https://ovidsp.ovid.com/rss/journals/00041444/pap.rss</t>
  </si>
  <si>
    <t>00003727</t>
  </si>
  <si>
    <t>https://ovidsp.ovid.com/rss/journals/01874474/current.rss</t>
  </si>
  <si>
    <t>https://ovidsp.ovid.com/rss/journals/02274272/pap.rss</t>
  </si>
  <si>
    <t>Pediatric Physical Therapy</t>
  </si>
  <si>
    <t>2766-9181</t>
  </si>
  <si>
    <t>00004850</t>
  </si>
  <si>
    <t>https://ovidsp.ovid.com/rss/journals/02260475/current.rss</t>
  </si>
  <si>
    <t>JBI Evidence Implementation</t>
  </si>
  <si>
    <t>2008-01-01</t>
  </si>
  <si>
    <t>1473-5709</t>
  </si>
  <si>
    <t>https://ovidsp.ovid.com/rss/journals/00043764/current.rss</t>
  </si>
  <si>
    <t>https://ovidsp.ovid.com/rss/journals/01720094/current.rss</t>
  </si>
  <si>
    <t>Life &amp; Biomedical Sciences;Clinical Medicine</t>
  </si>
  <si>
    <t>https://ovidsp.ovid.com/rss/journals/02118582/current.rss</t>
  </si>
  <si>
    <t>00152193</t>
  </si>
  <si>
    <t>Clinical Medicine;Pharmacology;Nursing</t>
  </si>
  <si>
    <t>0194-911X</t>
  </si>
  <si>
    <t>https://ovidsp.ovid.com/rss/journals/00004691/current.rss</t>
  </si>
  <si>
    <t>https://www.ahajournals.org/journal/circ</t>
  </si>
  <si>
    <t>http://journals.lww.com/gastroenterologynursing</t>
  </si>
  <si>
    <t>Environmental Epidemiology</t>
  </si>
  <si>
    <t>1531-7080</t>
  </si>
  <si>
    <t>https://ovidsp.ovid.com/rss/journals/00013414/current.rss</t>
  </si>
  <si>
    <t>1541-2016</t>
  </si>
  <si>
    <t>1524-4636</t>
  </si>
  <si>
    <t>1550-5065</t>
  </si>
  <si>
    <t>https://ovidsp.ovid.com/rss/journals/00132587/current.rss</t>
  </si>
  <si>
    <t>1879-1190</t>
  </si>
  <si>
    <t>1543-3641</t>
  </si>
  <si>
    <t>https://ovidsp.ovid.com/rss/journals/00132585/pap.rss</t>
  </si>
  <si>
    <t>The Cancer Journal</t>
  </si>
  <si>
    <t>https://ovidsp.ovid.com/rss/journals/01445473/pap.rss</t>
  </si>
  <si>
    <t>http://journals.lww.com/jaids</t>
  </si>
  <si>
    <t>01436970</t>
  </si>
  <si>
    <t>Techniques in Orthopaedics</t>
  </si>
  <si>
    <t>JAAOS: Global Research and Reviews</t>
  </si>
  <si>
    <t>00004623</t>
  </si>
  <si>
    <t>https://www.ahajournals.org/journal/circheartfailure</t>
  </si>
  <si>
    <t>Journal of Clinical Engineering</t>
  </si>
  <si>
    <t>1533-0303</t>
  </si>
  <si>
    <t>00001432</t>
  </si>
  <si>
    <t>https://www.ahajournals.org/journal/circimaging</t>
  </si>
  <si>
    <t>Canadian Journal of Addiction</t>
  </si>
  <si>
    <t>American Journal of Clinical Oncology</t>
  </si>
  <si>
    <t>Journal of Dermatology for Physician Assistants</t>
  </si>
  <si>
    <t>1552-6917</t>
  </si>
  <si>
    <t>https://ovidsp.ovid.com/rss/journals/00004347/current.rss</t>
  </si>
  <si>
    <t>00002508</t>
  </si>
  <si>
    <t>1933-3145</t>
  </si>
  <si>
    <t>http://journals.lww.com/coronary-artery</t>
  </si>
  <si>
    <t>2015-01-01 - 2025-12-01</t>
  </si>
  <si>
    <t>1553-0590</t>
  </si>
  <si>
    <t>https://journals.lww.com/jtccm/</t>
  </si>
  <si>
    <t>01979390</t>
  </si>
  <si>
    <t>https://journals.lww.com/eusjournal/</t>
  </si>
  <si>
    <t>https://ovidsp.ovid.com/rss/journals/02238388/current.rss</t>
  </si>
  <si>
    <t>http://journals.lww.com/jbjsjournal</t>
  </si>
  <si>
    <t>2015-02-01 - 2025-12-01</t>
  </si>
  <si>
    <t>1060-152X</t>
  </si>
  <si>
    <t>https://journals.lww.com/otm/</t>
  </si>
  <si>
    <t>http://journals.lww.com/grh</t>
  </si>
  <si>
    <t>https://ovidsp.ovid.com/rss/journals/00062752/pap.rss</t>
  </si>
  <si>
    <t>Journal of Nutritional Oncology</t>
  </si>
  <si>
    <t>Clinical Medicine;Health Professions;Life &amp; Biomedical Sciences</t>
  </si>
  <si>
    <t>https://ovidsp.ovid.com/rss/journals/02273800/pap.rss</t>
  </si>
  <si>
    <t>JBI Evidence Synthesis</t>
  </si>
  <si>
    <t>http://journals.lww.com/co-gastroenterology</t>
  </si>
  <si>
    <t>Current Opinion in Anaesthesiology</t>
  </si>
  <si>
    <t>2003-01-01 - 2025-12-01</t>
  </si>
  <si>
    <t>http://journals.lww.com/transplantjournal</t>
  </si>
  <si>
    <t>ACG Case Reports Journal</t>
  </si>
  <si>
    <t>https://ovidsp.ovid.com/rss/journals/02274916/current.rss</t>
  </si>
  <si>
    <t>00042728</t>
  </si>
  <si>
    <t>00132582</t>
  </si>
  <si>
    <t>Oncology Times</t>
  </si>
  <si>
    <t>http://journals.lww.com/ejop</t>
  </si>
  <si>
    <t>2001-01-01 - 2009-11-01</t>
  </si>
  <si>
    <t>0954-6928</t>
  </si>
  <si>
    <t>1743-9159</t>
  </si>
  <si>
    <t>1971-145X</t>
  </si>
  <si>
    <t>AJN, American Journal of Nursing</t>
  </si>
  <si>
    <t>2015-04-01 - 2025-12-01</t>
  </si>
  <si>
    <t>https://ovidsp.ovid.com/rss/journals/01300407/current.rss</t>
  </si>
  <si>
    <t>https://journals.lww.com/lt</t>
  </si>
  <si>
    <t>1533-9866</t>
  </si>
  <si>
    <t>https://journals.lww.com/asaiojournal</t>
  </si>
  <si>
    <t>https://ovidsp.ovid.com/rss/journals/00128360/current.rss</t>
  </si>
  <si>
    <t>http://journals.lww.com/otology-neurotology</t>
  </si>
  <si>
    <t>http://journals.lww.com/orthopaedicnursing</t>
  </si>
  <si>
    <t>0955-8810</t>
  </si>
  <si>
    <t>https://ovidsp.ovid.com/rss/journals/01271255/current.rss</t>
  </si>
  <si>
    <t>JBJS Open Access</t>
  </si>
  <si>
    <t>1533-029X</t>
  </si>
  <si>
    <t>Prod Code</t>
  </si>
  <si>
    <t>https://journals.lww.com/jporp</t>
  </si>
  <si>
    <t>http://journals.lww.com/nursingresearchonline</t>
  </si>
  <si>
    <t>https://ovidsp.ovid.com/rss/journals/02273912/current.rss</t>
  </si>
  <si>
    <t>https://journals.lww.com/monitor</t>
  </si>
  <si>
    <t>00126334</t>
  </si>
  <si>
    <t>Global Reproductive Health</t>
  </si>
  <si>
    <t>https://ovidsp.ovid.com/rss/journals/02276230/current.rss</t>
  </si>
  <si>
    <t>1S</t>
  </si>
  <si>
    <t>1993-01-01 - 2025-09-01</t>
  </si>
  <si>
    <t>0271-8294</t>
  </si>
  <si>
    <t>https://ovidsp.ovid.com/rss/journals/00000446/current.rss</t>
  </si>
  <si>
    <t>1531-7021</t>
  </si>
  <si>
    <t>2377-6110</t>
  </si>
  <si>
    <t>http://journals.lww.com/frontiersonline</t>
  </si>
  <si>
    <t>2833-6992</t>
  </si>
  <si>
    <t>0270-9139</t>
  </si>
  <si>
    <t>AIDS</t>
  </si>
  <si>
    <t>https://ovidsp.ovid.com/rss/journals/02071805/current.rss</t>
  </si>
  <si>
    <t>https://journals.lww.com/annalsplasticsurgery</t>
  </si>
  <si>
    <t>https://ovidsp.ovid.com/rss/journals/00004728/pap.rss</t>
  </si>
  <si>
    <t>http://journals.lww.com/theneurologist</t>
  </si>
  <si>
    <t>https://ovidsp.ovid.com/rss/journals/00019605/pap.rss</t>
  </si>
  <si>
    <t>https://ovidsp.ovid.com/rss/journals/00140068/current.rss</t>
  </si>
  <si>
    <t>Journal of Nervous &amp; Mental Disease</t>
  </si>
  <si>
    <t>1947-3893</t>
  </si>
  <si>
    <t>2007-04-01</t>
  </si>
  <si>
    <t>http://journals.lww.com/professionalcasemanagementjournal</t>
  </si>
  <si>
    <t>02276436</t>
  </si>
  <si>
    <t>http://journals.lww.com/cptj</t>
  </si>
  <si>
    <t>International Journal of Rehabilitation Research</t>
  </si>
  <si>
    <t>2015-02-01</t>
  </si>
  <si>
    <t>0952-7907</t>
  </si>
  <si>
    <t>Simulation in Healthcare: The Journal of the Society for Simulation in Healthcare</t>
  </si>
  <si>
    <t>Cancer Care Research Online</t>
  </si>
  <si>
    <t>https://www.auajournals.org/journal/urpr</t>
  </si>
  <si>
    <t>02200497</t>
  </si>
  <si>
    <t>https://journals.lww.com/CMC</t>
  </si>
  <si>
    <t>0003-3022</t>
  </si>
  <si>
    <t>02054229</t>
  </si>
  <si>
    <t>https://ovidsp.ovid.com/rss/journals/01787389/pap.rss</t>
  </si>
  <si>
    <t>00000434</t>
  </si>
  <si>
    <t>2021-01-01</t>
  </si>
  <si>
    <t>0882-5645</t>
  </si>
  <si>
    <t>2096-952X</t>
  </si>
  <si>
    <t>00008488</t>
  </si>
  <si>
    <t>https://ovidsp.ovid.com/rss/journals/00024665/current.rss</t>
  </si>
  <si>
    <t>Professional Case Management</t>
  </si>
  <si>
    <t>JBJS Journal of Orthopaedics for Physician Assistants</t>
  </si>
  <si>
    <t>http://journals.lww.com/journaloftraumanursing</t>
  </si>
  <si>
    <t>2004-01-01 - 2026-02-01</t>
  </si>
  <si>
    <t>Journal of Craniofacial Surgery</t>
  </si>
  <si>
    <t>2015-04-01 - 2025-10-01</t>
  </si>
  <si>
    <t>http://journals.lww.com/nutritiontodayonline</t>
  </si>
  <si>
    <t>2011-12-01 - 2026-04-01</t>
  </si>
  <si>
    <t>2633-0873</t>
  </si>
  <si>
    <t>Consortia CustName</t>
  </si>
  <si>
    <t>2998-8756</t>
  </si>
  <si>
    <t>3064-7916</t>
  </si>
  <si>
    <t>https://ovidsp.ovid.com/rss/journals/02276190/current.rss</t>
  </si>
  <si>
    <t>Pharmacology;Nursing;Life &amp; Biomedical Sciences;Health Professions;Clinical Medicine;Behavioral &amp; Social Sciences</t>
  </si>
  <si>
    <t>2000-03-01 - 2020-10-01</t>
  </si>
  <si>
    <t>Journal of Strength &amp; Conditioning Research</t>
  </si>
  <si>
    <t>0161-9268</t>
  </si>
  <si>
    <t>Current Opinion in Psychiatry</t>
  </si>
  <si>
    <t>2770-3169</t>
  </si>
  <si>
    <t>https://ovidsp.ovid.com/rss/journals/00013644/current.rss</t>
  </si>
  <si>
    <t>http://journals.lww.com/evidence-based-ophthalmology</t>
  </si>
  <si>
    <t>00042423</t>
  </si>
  <si>
    <t>https://ovidsp.ovid.com/rss/journals/00008526/current.rss</t>
  </si>
  <si>
    <t>1931-4493</t>
  </si>
  <si>
    <t>02123149</t>
  </si>
  <si>
    <t>https://ovidsp.ovid.com/rss/journals/02275165/current.rss</t>
  </si>
  <si>
    <t>1040-8738</t>
  </si>
  <si>
    <t>2004-05-01</t>
  </si>
  <si>
    <t>https://ovidsp.ovid.com/rss/journals/00008506/current.rss</t>
  </si>
  <si>
    <t>2015-03-01 - 2026-03-01</t>
  </si>
  <si>
    <t>Urological Science</t>
  </si>
  <si>
    <t>00132578</t>
  </si>
  <si>
    <t>American Journal of Therapeutics</t>
  </si>
  <si>
    <t>00012272</t>
  </si>
  <si>
    <t>http://journals.lww.com/clinicalneuropharm</t>
  </si>
  <si>
    <t>https://ovidsp.ovid.com/rss/journals/00043860/pap.rss</t>
  </si>
  <si>
    <t>2014-11-01</t>
  </si>
  <si>
    <t>Nursing Research</t>
  </si>
  <si>
    <t>https://ovidsp.ovid.com/rss/journals/00126548/pap.rss</t>
  </si>
  <si>
    <t>https://journals.lww.com/fjs/</t>
  </si>
  <si>
    <t>https://ovidsp.ovid.com/rss/journals/00004356/pap.rss</t>
  </si>
  <si>
    <t>http://journals.lww.com/nursingmadeincrediblyeasy</t>
  </si>
  <si>
    <t>1535-1386</t>
  </si>
  <si>
    <t>https://ovidsp.ovid.com/rss/journals/00025572/current.rss</t>
  </si>
  <si>
    <t>Nursing;Clinical Medicine;Life &amp; Biomedical Sciences</t>
  </si>
  <si>
    <t>https://journals.lww.com/acsm-esm/</t>
  </si>
  <si>
    <t>1550-3275</t>
  </si>
  <si>
    <t>Medicine &amp; Science in Sports &amp; Exercise</t>
  </si>
  <si>
    <t>Psychosomatic Medicine</t>
  </si>
  <si>
    <t>Beginning Year Coverage</t>
  </si>
  <si>
    <t>https://journals.lww.com/cur</t>
  </si>
  <si>
    <t>https://ovidsp.ovid.com/rss/journals/00132577/current.rss</t>
  </si>
  <si>
    <t>https://ovidsp.ovid.com/rss/journals/00004010/pap.rss</t>
  </si>
  <si>
    <t>Transplantation</t>
  </si>
  <si>
    <t>https://ovidsp.ovid.com/rss/journals/02070903/current.rss</t>
  </si>
  <si>
    <t>Journal of Lower Genital Tract Disease</t>
  </si>
  <si>
    <t>2016-04-01</t>
  </si>
  <si>
    <t>https://ovidsp.ovid.com/rss/journals/02245099/current.rss</t>
  </si>
  <si>
    <t>http://journals.lww.com/ear-hearing</t>
  </si>
  <si>
    <t>01720094</t>
  </si>
  <si>
    <t>Real Living with Multiple Sclerosis</t>
  </si>
  <si>
    <t>2016-11-15 - 2025-12-01</t>
  </si>
  <si>
    <t>https://ovidsp.ovid.com/rss/journals/00008526/pap.rss</t>
  </si>
  <si>
    <t>2020-03-01</t>
  </si>
  <si>
    <t>Contemporary Optometry</t>
  </si>
  <si>
    <t>https://journals.lww.com/bls</t>
  </si>
  <si>
    <t>0887-9303</t>
  </si>
  <si>
    <t>2015-06-01 - 2026-02-01</t>
  </si>
  <si>
    <t>2015-01-06</t>
  </si>
  <si>
    <t>Pediatric Infectious Disease Journal</t>
  </si>
  <si>
    <t>https://ovidsp.ovid.com/rss/journals/00132985/current.rss</t>
  </si>
  <si>
    <t>http://journals.lww.com/co-allergy</t>
  </si>
  <si>
    <t>2004-01-01</t>
  </si>
  <si>
    <t>02273238</t>
  </si>
  <si>
    <t>https://ovidsp.ovid.com/rss/journals/00001163/current.rss</t>
  </si>
  <si>
    <t>1944-7396</t>
  </si>
  <si>
    <t>A&amp;A Practice</t>
  </si>
  <si>
    <t>00042307</t>
  </si>
  <si>
    <t>2001-03-01 - 2013-10-01</t>
  </si>
  <si>
    <t>https://ovidsp.ovid.com/rss/journals/00002093/pap.rss</t>
  </si>
  <si>
    <t>00124784</t>
  </si>
  <si>
    <t>2021-11-01 - 2025-11-01</t>
  </si>
  <si>
    <t>02123148</t>
  </si>
  <si>
    <t>https://ovidsp.ovid.com/rss/journals/00005053/current.rss</t>
  </si>
  <si>
    <t>https://ovidsp.ovid.com/rss/journals/02273826/current.rss</t>
  </si>
  <si>
    <t>http://journals.lww.com/co-transplantation</t>
  </si>
  <si>
    <t>1538-9774</t>
  </si>
  <si>
    <t>http://journals.lww.com/topicsinlanguagedisorders</t>
  </si>
  <si>
    <t>Urogynecology</t>
  </si>
  <si>
    <t>https://journals.lww.com/jisa/</t>
  </si>
  <si>
    <t>2378-9506</t>
  </si>
  <si>
    <t>1546-4156</t>
  </si>
  <si>
    <t>http://journals.lww.com/co-pediatrics</t>
  </si>
  <si>
    <t>https://ovidsp.ovid.com/rss/journals/02050077/pap.rss</t>
  </si>
  <si>
    <t>1559-2332</t>
  </si>
  <si>
    <t>https://ovidsp.ovid.com/rss/journals/00019052/current.rss</t>
  </si>
  <si>
    <t>2470-752X</t>
  </si>
  <si>
    <t>Shock</t>
  </si>
  <si>
    <t>0162-220X</t>
  </si>
  <si>
    <t>1539-0705</t>
  </si>
  <si>
    <t>00042752</t>
  </si>
  <si>
    <t>http://journals.lww.com/cogbehavneurol</t>
  </si>
  <si>
    <t>Sexually Transmitted Diseases</t>
  </si>
  <si>
    <t>https://ovidsp.ovid.com/rss/journals/00754481/current.rss</t>
  </si>
  <si>
    <t>https://ovidsp.ovid.com/rss/journals/02273893/current.rss</t>
  </si>
  <si>
    <t>http://journals.lww.com/critpathcardio</t>
  </si>
  <si>
    <t>2022-07-01</t>
  </si>
  <si>
    <t>https://ovidsp.ovid.com/rss/journals/00132986/current.rss</t>
  </si>
  <si>
    <t>1539-8412</t>
  </si>
  <si>
    <t>https://ovidsp.ovid.com/rss/journals/01271216/pap.rss</t>
  </si>
  <si>
    <t>https://ovidsp.ovid.com/rss/journals/01394381/current.rss</t>
  </si>
  <si>
    <t>1527-3350</t>
  </si>
  <si>
    <t>https://ovidsp.ovid.com/rss/journals/01434893/current.rss</t>
  </si>
  <si>
    <t>Health Care Management Review</t>
  </si>
  <si>
    <t>00131746</t>
  </si>
  <si>
    <t>00006676</t>
  </si>
  <si>
    <t>https://ovidsp.ovid.com/rss/journals/01273116/pap.rss</t>
  </si>
  <si>
    <t>00005768</t>
  </si>
  <si>
    <t>https://ovidsp.ovid.com/rss/journals/00008488/current.rss</t>
  </si>
  <si>
    <t>European Journal of Gastroenterology &amp; Hepatology</t>
  </si>
  <si>
    <t>2021-03-01</t>
  </si>
  <si>
    <t>https://ovidsp.ovid.com/rss/journals/00000542/current.rss</t>
  </si>
  <si>
    <t>0012-3706</t>
  </si>
  <si>
    <t>https://ovidsp.ovid.com/rss/journals/00005382/pap.rss</t>
  </si>
  <si>
    <t>1531-5487</t>
  </si>
  <si>
    <t>2641-5895</t>
  </si>
  <si>
    <t>https://ovidsp.ovid.com/rss/journals/00006939/pap.rss</t>
  </si>
  <si>
    <t>International Journal of Dermatology and Venereology</t>
  </si>
  <si>
    <t>2836-922X</t>
  </si>
  <si>
    <t>00003446</t>
  </si>
  <si>
    <t>https://ovidsp.ovid.com/rss/journals/00124635/pap.rss</t>
  </si>
  <si>
    <t>http://journals.lww.com/naqjournal</t>
  </si>
  <si>
    <t>https://ovidsp.ovid.com/rss/journals/01277230/pap.rss</t>
  </si>
  <si>
    <t>1531-703X</t>
  </si>
  <si>
    <t>https://ovidsp.ovid.com/rss/journals/00004872/pap.rss</t>
  </si>
  <si>
    <t>https://ovidsp.ovid.com/rss/journals/01367895/current.rss</t>
  </si>
  <si>
    <t>2014-01-01</t>
  </si>
  <si>
    <t>1752-2978</t>
  </si>
  <si>
    <t>https://ovidsp.ovid.com/rss/journals/00139703/current.rss</t>
  </si>
  <si>
    <t>Medical Innovation &amp; Business</t>
  </si>
  <si>
    <t>1040-8746</t>
  </si>
  <si>
    <t>2011-07-13</t>
  </si>
  <si>
    <t>https://ovidsp.ovid.com/rss/journals/01274882/pap.rss</t>
  </si>
  <si>
    <t>1539-2031</t>
  </si>
  <si>
    <t>0029-7828</t>
  </si>
  <si>
    <t>Ophthalmic Plastic &amp; Reconstructive Surgery</t>
  </si>
  <si>
    <t>01720096</t>
  </si>
  <si>
    <t>1040-872X</t>
  </si>
  <si>
    <t>1096-9012</t>
  </si>
  <si>
    <t>0271-6798</t>
  </si>
  <si>
    <t>Clinical and Journal of the American Society of Nephrology Bundle From 2015</t>
  </si>
  <si>
    <t>1533-4023</t>
  </si>
  <si>
    <t>1054-0725</t>
  </si>
  <si>
    <t>2020-01-01 - 2026-01-01</t>
  </si>
  <si>
    <t>2020-12-01</t>
  </si>
  <si>
    <t>https://ovidsp.ovid.com/rss/journals/00006231/current.rss</t>
  </si>
  <si>
    <t>0009-9201</t>
  </si>
  <si>
    <t>2004-03-01</t>
  </si>
  <si>
    <t>Clinical Medicine;Life &amp; Biomedical Sciences</t>
  </si>
  <si>
    <t>https://ovidsp.ovid.com/rss/journals/00029330/current.rss</t>
  </si>
  <si>
    <t>AccessType</t>
  </si>
  <si>
    <t>Nursing;Life &amp; Biomedical Sciences;Clinical Medicine;Behavioral &amp; Social Sciences</t>
  </si>
  <si>
    <t>https://ovidsp.ovid.com/rss/journals/00024665/pap.rss</t>
  </si>
  <si>
    <t>http://journals.lww.com/health-physics</t>
  </si>
  <si>
    <t>00126450</t>
  </si>
  <si>
    <t>2021-04-01</t>
  </si>
  <si>
    <t>1536-5166</t>
  </si>
  <si>
    <t>http://journals.lww.com/cardiovascularpharm</t>
  </si>
  <si>
    <t>https://ovidsp.ovid.com/rss/journals/00131746/current.rss</t>
  </si>
  <si>
    <t>OfferedOn</t>
  </si>
  <si>
    <t>A&amp;A Case Reports</t>
  </si>
  <si>
    <t>Contemporary Spine Surgery</t>
  </si>
  <si>
    <t>http://journals.lww.com/jnpt</t>
  </si>
  <si>
    <t>Journal of Bone and Joint Surgery</t>
  </si>
  <si>
    <t>02039743</t>
  </si>
  <si>
    <t>Topics in Magnetic Resonance Imaging</t>
  </si>
  <si>
    <t>00021668</t>
  </si>
  <si>
    <t>1536-593X</t>
  </si>
  <si>
    <t>2380-0186</t>
  </si>
  <si>
    <t>01266029</t>
  </si>
  <si>
    <t>Neurology Education</t>
  </si>
  <si>
    <t>2022-04-01</t>
  </si>
  <si>
    <t>https://ovidsp.ovid.com/rss/journals/01271255/pap.rss</t>
  </si>
  <si>
    <t>http://journals.lww.com/jpae</t>
  </si>
  <si>
    <t>2020-06-01</t>
  </si>
  <si>
    <t>00004691</t>
  </si>
  <si>
    <t>https://ovidsp.ovid.com/rss/journals/00008390/current.rss</t>
  </si>
  <si>
    <t>2004-05-01 - 2026-01-01</t>
  </si>
  <si>
    <t>Journal of Trauma and Acute Care Surgery</t>
  </si>
  <si>
    <t>1062-8592</t>
  </si>
  <si>
    <t>https://ovidsp.ovid.com/rss/journals/01607935/pap.rss</t>
  </si>
  <si>
    <t>1042-895X</t>
  </si>
  <si>
    <t>1531-7072</t>
  </si>
  <si>
    <t>0962-8827</t>
  </si>
  <si>
    <t>01938936</t>
  </si>
  <si>
    <t>https://ovidsp.ovid.com/rss/journals/00001163/pap.rss</t>
  </si>
  <si>
    <t>https://ascopubs.org/journal/oa</t>
  </si>
  <si>
    <t>00005110</t>
  </si>
  <si>
    <t>00003453</t>
  </si>
  <si>
    <t>Journal of Urology</t>
  </si>
  <si>
    <t>https://ovidsp.ovid.com/rss/journals/00005768/pap.rss</t>
  </si>
  <si>
    <t>https://ovidsp.ovid.com/rss/journals/00149619/current.rss</t>
  </si>
  <si>
    <t>2024-03-01</t>
  </si>
  <si>
    <t>https://journals.lww.com/idi/</t>
  </si>
  <si>
    <t>https://www.neurology.org/journal/wnl</t>
  </si>
  <si>
    <t>https://ovidsp.ovid.com/rss/journals/00132114/pap.rss</t>
  </si>
  <si>
    <t>0022-5347</t>
  </si>
  <si>
    <t>1091-5397</t>
  </si>
  <si>
    <t>https://ovidsp.ovid.com/rss/journals/00042752/current.rss</t>
  </si>
  <si>
    <t>Implant Dentistry</t>
  </si>
  <si>
    <t>0148-396X</t>
  </si>
  <si>
    <t>2020-08-01</t>
  </si>
  <si>
    <t>https://ovidsp.ovid.com/rss/journals/01337494/current.rss</t>
  </si>
  <si>
    <t>http://journals.lww.com/jphmp</t>
  </si>
  <si>
    <t>Il Giornale di Chirurgia – Journal of the Italian Surgical Association</t>
  </si>
  <si>
    <t>https://ovidsp.ovid.com/rss/journals/00063198/pap.rss</t>
  </si>
  <si>
    <t>0898-4921</t>
  </si>
  <si>
    <t>Survey of Anesthesiology</t>
  </si>
  <si>
    <t>https://ovidsp.ovid.com/rss/journals/02275074/current.rss</t>
  </si>
  <si>
    <t>2444-8664</t>
  </si>
  <si>
    <t>Chinese Medicine and Culture</t>
  </si>
  <si>
    <t>Clinical Nuclear Medicine Open</t>
  </si>
  <si>
    <t>Journal of Craniofacial Surgery Open</t>
  </si>
  <si>
    <t>http://journals.lww.com/jonalaw</t>
  </si>
  <si>
    <t>1538-1145</t>
  </si>
  <si>
    <t>1534-4908</t>
  </si>
  <si>
    <t>2013-07-01 - 2026-01-01</t>
  </si>
  <si>
    <t>ACSM'S Health &amp; Fitness Journal</t>
  </si>
  <si>
    <t>Journal of the American Association of Nurse Practitioners</t>
  </si>
  <si>
    <t>Anesthesiology</t>
  </si>
  <si>
    <t>2015-12-01</t>
  </si>
  <si>
    <t>0363-3624</t>
  </si>
  <si>
    <t>Current Opinion in Clinical Nutrition &amp; Metabolic Care</t>
  </si>
  <si>
    <t>2333-0600</t>
  </si>
  <si>
    <t>https://ovidsp.ovid.com/rss/journals/00003677/pap.rss</t>
  </si>
  <si>
    <t>02087401</t>
  </si>
  <si>
    <t>2213-5413</t>
  </si>
  <si>
    <t>2325-7237</t>
  </si>
  <si>
    <t>Annals of Medicine &amp; Surgery</t>
  </si>
  <si>
    <t>https://ovidsp.ovid.com/rss/journals/00131402/current.rss</t>
  </si>
  <si>
    <t>Nursing;Health Professions;Clinical Medicine;Life &amp; Biomedical Sciences</t>
  </si>
  <si>
    <t>https://ovidsp.ovid.com/rss/journals/00129039/pap.rss</t>
  </si>
  <si>
    <t>https://ovidsp.ovid.com/rss/journals/00003226/current.rss</t>
  </si>
  <si>
    <t>Circulation Research</t>
  </si>
  <si>
    <t>2202-4433</t>
  </si>
  <si>
    <t>01974520</t>
  </si>
  <si>
    <t>Nursing;Pharmacology;Health Professions;Clinical Medicine</t>
  </si>
  <si>
    <t>https://ovidsp.ovid.com/rss/journals/02211172/pap.rss</t>
  </si>
  <si>
    <t>https://ovidsp.ovid.com/rss/journals/00013414/pap.rss</t>
  </si>
  <si>
    <t>Journal of Neurosurgical Anesthesiology</t>
  </si>
  <si>
    <t>https://ovidsp.ovid.com/rss/journals/00001648/current.rss</t>
  </si>
  <si>
    <t>https://ovidsp.ovid.com/rss/journals/02272794/current.rss</t>
  </si>
  <si>
    <t>01626549</t>
  </si>
  <si>
    <t>1548-2545</t>
  </si>
  <si>
    <t>Bulletin of the Hospital for Joint Diseases</t>
  </si>
  <si>
    <t>2007-07-01 - 2010-10-01</t>
  </si>
  <si>
    <t>00041552</t>
  </si>
  <si>
    <t>https://ovidsp.ovid.com/rss/journals/01845097/current.rss</t>
  </si>
  <si>
    <t>2155-384X</t>
  </si>
  <si>
    <t>http://journals.lww.com/jpharmacogenetics</t>
  </si>
  <si>
    <t>1533-1458</t>
  </si>
  <si>
    <t>2162-9838</t>
  </si>
  <si>
    <t>2024-12-01</t>
  </si>
  <si>
    <t>00045415</t>
  </si>
  <si>
    <t>2013-06-01 - 2026-01-01</t>
  </si>
  <si>
    <t>https://journals.lww.com/transplantationdirect/</t>
  </si>
  <si>
    <t>2015-01-01 - 2026-02-15</t>
  </si>
  <si>
    <t>Topics in Geriatric Rehabilitation</t>
  </si>
  <si>
    <t>International Journal of Surgery Oncology</t>
  </si>
  <si>
    <t>https://ovidsp.ovid.com/rss/journals/00004850/pap.rss</t>
  </si>
  <si>
    <t>JAIDS Journal of Acquired Immune Deficiency Syndromes</t>
  </si>
  <si>
    <t>https://ovidsp.ovid.com/rss/journals/01745195/pap.rss</t>
  </si>
  <si>
    <t>American Journal of Medical Quality</t>
  </si>
  <si>
    <t>Circulation: Cardiovascular Interventions</t>
  </si>
  <si>
    <t>Current Opinion in Gastroenterology</t>
  </si>
  <si>
    <t>2095-9621</t>
  </si>
  <si>
    <t>https://ovidsp.ovid.com/rss/journals/01515467/current.rss</t>
  </si>
  <si>
    <t>http://journals.lww.com/oncology-times</t>
  </si>
  <si>
    <t>https://ovidsp.ovid.com/rss/journals/00017285/pap.rss</t>
  </si>
  <si>
    <t>1537-2677</t>
  </si>
  <si>
    <t>2694-5746</t>
  </si>
  <si>
    <t>https://ovidsp.ovid.com/rss/journals/01713670/pap.rss</t>
  </si>
  <si>
    <t>https://ovidsp.ovid.com/rss/journals/00001573/current.rss</t>
  </si>
  <si>
    <t>https://ovidsp.ovid.com/rss/journals/02272498/current.rss</t>
  </si>
  <si>
    <t>Clinical Medicine;Medical Humanities;Nursing</t>
  </si>
  <si>
    <t>https://ovidsp.ovid.com/rss/journals/00115514/current.rss</t>
  </si>
  <si>
    <t>https://ovidsp.ovid.com/rss/journals/01979360/current.rss</t>
  </si>
  <si>
    <t>2010-08-31</t>
  </si>
  <si>
    <t>00008390</t>
  </si>
  <si>
    <t>https://ovidsp.ovid.com/rss/journals/00256406/current.rss</t>
  </si>
  <si>
    <t>1536-7185</t>
  </si>
  <si>
    <t>00065443</t>
  </si>
  <si>
    <t>Journal of Head Trauma Rehabilitation</t>
  </si>
  <si>
    <t>Medicine: Case Reports and Study Protocols</t>
  </si>
  <si>
    <t>2025-01-01 - 2026-01-01</t>
  </si>
  <si>
    <t>2026-01-21</t>
  </si>
  <si>
    <t>2026-04-01</t>
  </si>
  <si>
    <t>Patient Education;Nursing;Clinical Medicine;Health Professions;Public Health</t>
  </si>
  <si>
    <t>00134372</t>
  </si>
  <si>
    <t>OTA International</t>
  </si>
  <si>
    <t>https://ovidsp.ovid.com/rss/journals/00001786/pap.rss</t>
  </si>
  <si>
    <t>2007-06-01 - 2014-01-01</t>
  </si>
  <si>
    <t>https://ovidsp.ovid.com/rss/journals/02196409/current.rss</t>
  </si>
  <si>
    <t>Journal of Developmental &amp; Behavioral Pediatrics</t>
  </si>
  <si>
    <t>https://journals.lww.com/ajpmr</t>
  </si>
  <si>
    <t>ISSN</t>
  </si>
  <si>
    <t>https://ovidsp.ovid.com/rss/journals/02174543/pap.rss</t>
  </si>
  <si>
    <t>2633-0407</t>
  </si>
  <si>
    <t>http://journals.lww.com/jtrauma</t>
  </si>
  <si>
    <t>Wolters Kluwer/PE Book</t>
  </si>
  <si>
    <t>https://ovidsp.ovid.com/rss/journals/02200497/current.rss</t>
  </si>
  <si>
    <t>1973-01-01</t>
  </si>
  <si>
    <t>2002-01-01</t>
  </si>
  <si>
    <t>Clinical Medicine;Nursing;Life &amp; Biomedical Sciences</t>
  </si>
  <si>
    <t>2001-02-01 - 2017-10-01</t>
  </si>
  <si>
    <t>2471-3864</t>
  </si>
  <si>
    <t>http://journals.lww.com/menopausejournal</t>
  </si>
  <si>
    <t>1996-01-01</t>
  </si>
  <si>
    <t>00002142</t>
  </si>
  <si>
    <t>1559-713X</t>
  </si>
  <si>
    <t>https://ovidsp.ovid.com/rss/journals/00019052/pap.rss</t>
  </si>
  <si>
    <t>00006939</t>
  </si>
  <si>
    <t>0959-8278</t>
  </si>
  <si>
    <t>Journal of Bronchology &amp; Interventional Pulmonology</t>
  </si>
  <si>
    <t>2468-3574</t>
  </si>
  <si>
    <t>1090-2260</t>
  </si>
  <si>
    <t>3069-0366</t>
  </si>
  <si>
    <t>1538-7151</t>
  </si>
  <si>
    <t>Nursing Education Perspectives</t>
  </si>
  <si>
    <t>1542-538X</t>
  </si>
  <si>
    <t>The Health Care Manager</t>
  </si>
  <si>
    <t>Contemporary Ophthalmology</t>
  </si>
  <si>
    <t>https://ovidsp.ovid.com/rss/journals/01984727/current.rss</t>
  </si>
  <si>
    <t>https://ovidsp.ovid.com/rss/journals/00063110/current.rss</t>
  </si>
  <si>
    <t>2016-01-01 - 2022-11-01</t>
  </si>
  <si>
    <t>2020-01-01</t>
  </si>
  <si>
    <t>LPN</t>
  </si>
  <si>
    <t>2015-02-01 - 2026-02-01</t>
  </si>
  <si>
    <t>1473-5660</t>
  </si>
  <si>
    <t>https://ovidsp.ovid.com/rss/journals/00001416/pap.rss</t>
  </si>
  <si>
    <t>https://ovidsp.ovid.com/rss/journals/00001577/current.rss</t>
  </si>
  <si>
    <t>Quality Management in Health Care</t>
  </si>
  <si>
    <t>02277013</t>
  </si>
  <si>
    <t>01984727</t>
  </si>
  <si>
    <t>https://ovidsp.ovid.com/rss/journals/00004872/current.rss</t>
  </si>
  <si>
    <t>9-3515-2497-3</t>
  </si>
  <si>
    <t>00006565</t>
  </si>
  <si>
    <t>https://ovidsp.ovid.com/rss/journals/00024382/current.rss</t>
  </si>
  <si>
    <t>http://journals.lww.com/ambulatorycaremanagement</t>
  </si>
  <si>
    <t>Hepatology</t>
  </si>
  <si>
    <t>1726-4901</t>
  </si>
  <si>
    <t>2002-03-01</t>
  </si>
  <si>
    <t>https://ovidsp.ovid.com/rss/journals/00135124/current.rss</t>
  </si>
  <si>
    <t>https://ovidsp.ovid.com/rss/journals/02211145/current.rss</t>
  </si>
  <si>
    <t>The Back Letter</t>
  </si>
  <si>
    <t>00004268</t>
  </si>
  <si>
    <t>00006114</t>
  </si>
  <si>
    <t>https://ovidsp.ovid.com/rss/journals/01273116/current.rss</t>
  </si>
  <si>
    <t>Sports Medicine and Arthroscopy Review</t>
  </si>
  <si>
    <t>https://ovidsp.ovid.com/rss/journals/00011363/current.rss</t>
  </si>
  <si>
    <t>https://ovidsp.ovid.com/rss/journals/00004623/current.rss</t>
  </si>
  <si>
    <t>2995-5858</t>
  </si>
  <si>
    <t>Journal of Addiction Medicine</t>
  </si>
  <si>
    <t>https://ovidsp.ovid.com/rss/journals/02273501/current.rss</t>
  </si>
  <si>
    <t>02045117</t>
  </si>
  <si>
    <t>2831-3461</t>
  </si>
  <si>
    <t>2011-07-13 - 2026-01-01</t>
  </si>
  <si>
    <t>02123147</t>
  </si>
  <si>
    <t>2015-07-01</t>
  </si>
  <si>
    <t>http://journals.lww.com/shoulderelbowsurgery</t>
  </si>
  <si>
    <t>2015-01-07 - 2026-02-04</t>
  </si>
  <si>
    <t>https://ovidsp.ovid.com/rss/journals/00152258/pap.rss</t>
  </si>
  <si>
    <t>00013414</t>
  </si>
  <si>
    <t>2833-7018</t>
  </si>
  <si>
    <t>https://ovidsp.ovid.com/rss/journals/00006114/current.rss</t>
  </si>
  <si>
    <t>1072-7515</t>
  </si>
  <si>
    <t>00000542</t>
  </si>
  <si>
    <t>1879-5226</t>
  </si>
  <si>
    <t>1558-2027</t>
  </si>
  <si>
    <t>http://journals.lww.com/implantdent</t>
  </si>
  <si>
    <t>2017-12-01</t>
  </si>
  <si>
    <t>0747-7376</t>
  </si>
  <si>
    <t>02200519</t>
  </si>
  <si>
    <t>0969-9546</t>
  </si>
  <si>
    <t>00005131</t>
  </si>
  <si>
    <t>https://ovidsp.ovid.com/rss/journals/01940646/current.rss</t>
  </si>
  <si>
    <t>http://journals.lww.com/jonmd</t>
  </si>
  <si>
    <t>1536-3708</t>
  </si>
  <si>
    <t>2018-03-01</t>
  </si>
  <si>
    <t>2010-10-01 - 2026-01-01</t>
  </si>
  <si>
    <t>Primary Category</t>
  </si>
  <si>
    <t>https://ovidsp.ovid.com/rss/journals/00000539/current.rss</t>
  </si>
  <si>
    <t>0041-1337</t>
  </si>
  <si>
    <t>https://ovidsp.ovid.com/rss/journals/00004424/current.rss</t>
  </si>
  <si>
    <t>01263942</t>
  </si>
  <si>
    <t>2590-3438</t>
  </si>
  <si>
    <t>1985-09-01</t>
  </si>
  <si>
    <t>Journal of Global Oncology</t>
  </si>
  <si>
    <t>http://journals.lww.com/psnjournalonline</t>
  </si>
  <si>
    <t>2162-0989</t>
  </si>
  <si>
    <t>2015-10-01</t>
  </si>
  <si>
    <t>https://ovidsp.ovid.com/rss/journals/02273238/current.rss</t>
  </si>
  <si>
    <t>01709766</t>
  </si>
  <si>
    <t>Pediatric Emergency Care</t>
  </si>
  <si>
    <t>International Journal of Evidence-Based Healthcare</t>
  </si>
  <si>
    <t>2004-07-01</t>
  </si>
  <si>
    <t>2015-03-01 - 2025-12-01</t>
  </si>
  <si>
    <t>https://ovidsp.ovid.com/rss/journals/00075198/pap.rss</t>
  </si>
  <si>
    <t>2380-4025</t>
  </si>
  <si>
    <t>01709760</t>
  </si>
  <si>
    <t>https://journals.lww.com/aswcjournal</t>
  </si>
  <si>
    <t>2023-09-01 - 2025-12-01</t>
  </si>
  <si>
    <t>http://journals.lww.com/revmedmicrobiol</t>
  </si>
  <si>
    <t>Cognitive and Behavioral Neurology</t>
  </si>
  <si>
    <t>https://ovidsp.ovid.com/rss/journals/00062706/current.rss</t>
  </si>
  <si>
    <t>https://ovidsp.ovid.com/rss/journals/00152192/current.rss</t>
  </si>
  <si>
    <t>0896-3746</t>
  </si>
  <si>
    <t>1943-4685</t>
  </si>
  <si>
    <t>2015-01-01</t>
  </si>
  <si>
    <t>https://ovidsp.ovid.com/rss/journals/00004010/current.rss</t>
  </si>
  <si>
    <t>https://ovidsp.ovid.com/rss/journals/00041444/current.rss</t>
  </si>
  <si>
    <t>0951-7367</t>
  </si>
  <si>
    <t>1058-2916</t>
  </si>
  <si>
    <t>https://ovidsp.ovid.com/rss/journals/00005141/pap.rss</t>
  </si>
  <si>
    <t>Clinical Journal of the American Society of Nephrology</t>
  </si>
  <si>
    <t>0361-6274</t>
  </si>
  <si>
    <t>01300517</t>
  </si>
  <si>
    <t>0194-3898</t>
  </si>
  <si>
    <t>Southern Medical Journal</t>
  </si>
  <si>
    <t>2008-11-01</t>
  </si>
  <si>
    <t>02273912</t>
  </si>
  <si>
    <t>https://ovidsp.ovid.com/rss/journals/00008390/pap.rss</t>
  </si>
  <si>
    <t>01269241</t>
  </si>
  <si>
    <t>2016-11-15</t>
  </si>
  <si>
    <t>01607935</t>
  </si>
  <si>
    <t>http://journals.lww.com/jhypertension</t>
  </si>
  <si>
    <t>Operative Neurosurgery</t>
  </si>
  <si>
    <t>https://ovidsp.ovid.com/rss/journals/00000421/pap.rss</t>
  </si>
  <si>
    <t>0163-2108</t>
  </si>
  <si>
    <t>https://ovidsp.ovid.com/rss/journals/00001786/current.rss</t>
  </si>
  <si>
    <t>1057-0829</t>
  </si>
  <si>
    <t>https://ovidsp.ovid.com/rss/journals/02276383/pap.rss</t>
  </si>
  <si>
    <t>2018-12-01 - 2025-12-01</t>
  </si>
  <si>
    <t>2022-09-01 - 2026-03-01</t>
  </si>
  <si>
    <t>https://ovidsp.ovid.com/rss/journals/00004356/current.rss</t>
  </si>
  <si>
    <t>01586158</t>
  </si>
  <si>
    <t>00129492</t>
  </si>
  <si>
    <t>2014-01-01 - 2017-05-19</t>
  </si>
  <si>
    <t>https://journals.lww.com/hep</t>
  </si>
  <si>
    <t>Neurology Open Access</t>
  </si>
  <si>
    <t>https://ovidsp.ovid.com/rss/journals/00126869/current.rss</t>
  </si>
  <si>
    <t>1941-7705</t>
  </si>
  <si>
    <t>https://ovidsp.ovid.com/rss/journals/01670164/pap.rss</t>
  </si>
  <si>
    <t>01932788</t>
  </si>
  <si>
    <t>1539-9192</t>
  </si>
  <si>
    <t>2023-03-01 - 2025-12-01</t>
  </si>
  <si>
    <t>1944-7884</t>
  </si>
  <si>
    <t>1550-2414</t>
  </si>
  <si>
    <t>JPO Journal of Prosthetics and Orthotics</t>
  </si>
  <si>
    <t>Circulation: Heart Failure</t>
  </si>
  <si>
    <t>00043860</t>
  </si>
  <si>
    <t>1088-4602</t>
  </si>
  <si>
    <t>https://ovidsp.ovid.com/rss/journals/00004479/pap.rss</t>
  </si>
  <si>
    <t>02276378</t>
  </si>
  <si>
    <t>2014-12-01</t>
  </si>
  <si>
    <t>Plastic and Reconstructive Surgery - Global Open</t>
  </si>
  <si>
    <t>2021-03-01 - 2025-12-01</t>
  </si>
  <si>
    <t>00004311</t>
  </si>
  <si>
    <t>http://journals.lww.com/jbjsest</t>
  </si>
  <si>
    <t>2096-9511</t>
  </si>
  <si>
    <t>2005-01-01</t>
  </si>
  <si>
    <t>2025-12-30</t>
  </si>
  <si>
    <t>https://ovidsp.ovid.com/rss/journals/02114886/pap.rss</t>
  </si>
  <si>
    <t>Nephrology Times</t>
  </si>
  <si>
    <t>0361-1817</t>
  </si>
  <si>
    <t>5-6</t>
  </si>
  <si>
    <t>https://ovidsp.ovid.com/rss/journals/00001756/current.rss</t>
  </si>
  <si>
    <t>Hemodynamics</t>
  </si>
  <si>
    <t>https://ovidsp.ovid.com/rss/journals/00132588/current.rss</t>
  </si>
  <si>
    <t>https://journals.lww.com/jcma</t>
  </si>
  <si>
    <t>https://ovidsp.ovid.com/rss/journals/00130561/current.rss</t>
  </si>
  <si>
    <t/>
  </si>
  <si>
    <t>Journal of Pediatric Orthopaedics</t>
  </si>
  <si>
    <t>https://www.ahajournals.org/journal/circgen</t>
  </si>
  <si>
    <t>Advances in Anatomic Pathology</t>
  </si>
  <si>
    <t>00256406</t>
  </si>
  <si>
    <t>00000372</t>
  </si>
  <si>
    <t>https://ovidsp.ovid.com/rss/journals/00075198/current.rss</t>
  </si>
  <si>
    <t>Emergency and Critical Care Medicine</t>
  </si>
  <si>
    <t>https://journals.lww.com/jagr/</t>
  </si>
  <si>
    <t>2574-8300</t>
  </si>
  <si>
    <t>2026-02-15</t>
  </si>
  <si>
    <t>https://ovidsp.ovid.com/rss/journals/00004168/current.rss</t>
  </si>
  <si>
    <t>http://journals.lww.com/jpo-b</t>
  </si>
  <si>
    <t>2005-01-01 - 2026-01-01</t>
  </si>
  <si>
    <t>00005382</t>
  </si>
  <si>
    <t>https://ovidsp.ovid.com/rss/journals/00061198/current.rss</t>
  </si>
  <si>
    <t>2012-01-01</t>
  </si>
  <si>
    <t>https://ovidsp.ovid.com/rss/journals/01787381/current.rss</t>
  </si>
  <si>
    <t>http://journals.lww.com/corneajrnl</t>
  </si>
  <si>
    <t>1537-1905</t>
  </si>
  <si>
    <t>Nursing;Pharmacology;Clinical Medicine;Life &amp; Biomedical Sciences</t>
  </si>
  <si>
    <t>https://www.ahajournals.org/journal/res</t>
  </si>
  <si>
    <t>00152258</t>
  </si>
  <si>
    <t>https://ovidsp.ovid.com/rss/journals/00129804/current.rss</t>
  </si>
  <si>
    <t>0741-5206</t>
  </si>
  <si>
    <t>1533-4058</t>
  </si>
  <si>
    <t>https://journals.lww.com/jcrs/</t>
  </si>
  <si>
    <t>1359-5237</t>
  </si>
  <si>
    <t>2349-7904</t>
  </si>
  <si>
    <t>00006416</t>
  </si>
  <si>
    <t>https://journals.lww.com/medmat/</t>
  </si>
  <si>
    <t>Oncology and Translational Medicine</t>
  </si>
  <si>
    <t>https://ovidsp.ovid.com/rss/journals/01183741/current.rss</t>
  </si>
  <si>
    <t>https://journals.lww.com/pathologycasereviews/</t>
  </si>
  <si>
    <t>Medical Humanities;Health Professions;Science;Clinical Medicine</t>
  </si>
  <si>
    <t>Frontiers of Health Services Management</t>
  </si>
  <si>
    <t>https://ovidsp.ovid.com/rss/journals/00005110/current.rss</t>
  </si>
  <si>
    <t>1534-4916</t>
  </si>
  <si>
    <t>2007-01-01 - 2015-11-30</t>
  </si>
  <si>
    <t>01845097</t>
  </si>
  <si>
    <t>2022-09-01</t>
  </si>
  <si>
    <t>https://journals.lww.com/ijdv/</t>
  </si>
  <si>
    <t>Journal of Spinal Disorders &amp; Techniques</t>
  </si>
  <si>
    <t>2020-12-01 - 2026-03-01</t>
  </si>
  <si>
    <t>European Journal of Cancer Prevention</t>
  </si>
  <si>
    <t>Journal of Perinatal &amp; Neonatal Nursing</t>
  </si>
  <si>
    <t>https://ovidsp.ovid.com/rss/journals/02238388/pap.rss</t>
  </si>
  <si>
    <t>00129191</t>
  </si>
  <si>
    <t>Public Health;Nursing</t>
  </si>
  <si>
    <t>Epidemiology</t>
  </si>
  <si>
    <t>https://ovidsp.ovid.com/rss/journals/00005344/pap.rss</t>
  </si>
  <si>
    <t>00063110</t>
  </si>
  <si>
    <t>2015-01-01 - 2021-10-01</t>
  </si>
  <si>
    <t>1558-2035</t>
  </si>
  <si>
    <t>00045413</t>
  </si>
  <si>
    <t>https://ovidsp.ovid.com/rss/journals/00006396/pap.rss</t>
  </si>
  <si>
    <t>Browse Your Journals@Ovid</t>
  </si>
  <si>
    <t>https://journals.lww.com/imna/</t>
  </si>
  <si>
    <t>https://ovidsp.ovid.com/rss/journals/02114886/current.rss</t>
  </si>
  <si>
    <t>2026-02-04</t>
  </si>
  <si>
    <t>1530-0315</t>
  </si>
  <si>
    <t>00003465</t>
  </si>
  <si>
    <t>2016-03-01 - 2025-11-01</t>
  </si>
  <si>
    <t>1070-8022</t>
  </si>
  <si>
    <t>1556-6803</t>
  </si>
  <si>
    <t>https://ovidsp.ovid.com/rss/journals/02071805/pap.rss</t>
  </si>
  <si>
    <t>https://ovidsp.ovid.com/rss/journals/01720097/current.rss</t>
  </si>
  <si>
    <t>https://ovidsp.ovid.com/rss/journals/00003017/current.rss</t>
  </si>
  <si>
    <t>https://ovidsp.ovid.com/rss/journals/00043605/current.rss</t>
  </si>
  <si>
    <t>Infants &amp; Young Children</t>
  </si>
  <si>
    <t>https://ovidsp.ovid.com/rss/journals/00045391/current.rss</t>
  </si>
  <si>
    <t>http://journals.lww.com/psychgenetics</t>
  </si>
  <si>
    <t>4th_Edition</t>
  </si>
  <si>
    <t>2010-12-01</t>
  </si>
  <si>
    <t>https://ovidsp.ovid.com/rss/journals/00132578/current.rss</t>
  </si>
  <si>
    <t>https://ovidsp.ovid.com/rss/journals/00005141/current.rss</t>
  </si>
  <si>
    <t>https://ovidsp.ovid.com/rss/journals/02054256/current.rss</t>
  </si>
  <si>
    <t>0957-5235</t>
  </si>
  <si>
    <t>International Drug Therapy Newsletter</t>
  </si>
  <si>
    <t>00006231</t>
  </si>
  <si>
    <t>Current Opinion in Neurology</t>
  </si>
  <si>
    <t>1538-9855</t>
  </si>
  <si>
    <t>02249956</t>
  </si>
  <si>
    <t>2691-3321</t>
  </si>
  <si>
    <t>PACEsetterS</t>
  </si>
  <si>
    <t>02273501</t>
  </si>
  <si>
    <t>00132577</t>
  </si>
  <si>
    <t>00006123</t>
  </si>
  <si>
    <t>1537-1603</t>
  </si>
  <si>
    <t>2018-03-01 - 2026-03-01</t>
  </si>
  <si>
    <t>Topics in Clinical Nutrition</t>
  </si>
  <si>
    <t>https://ovidsp.ovid.com/rss/journals/01979390/current.rss</t>
  </si>
  <si>
    <t>http://journals.lww.com/journalppo</t>
  </si>
  <si>
    <t>0361-929X</t>
  </si>
  <si>
    <t>https://ovidsp.ovid.com/rss/journals/00029330/pap.rss</t>
  </si>
  <si>
    <t>https://ovidsp.ovid.com/rss/journals/01241398/current.rss</t>
  </si>
  <si>
    <t>2022-08-01 - 2026-02-01</t>
  </si>
  <si>
    <t>00127893</t>
  </si>
  <si>
    <t>https://ovidsp.ovid.com/rss/journals/00043605/pap.rss</t>
  </si>
  <si>
    <t>2993-6268</t>
  </si>
  <si>
    <t>2766-3604</t>
  </si>
  <si>
    <t>https://ovidsp.ovid.com/rss/journals/00060867/pap.rss</t>
  </si>
  <si>
    <t>2014-01-01 - 2025-12-01</t>
  </si>
  <si>
    <t>ThirdParty Jumpstart</t>
  </si>
  <si>
    <t>2833-3659</t>
  </si>
  <si>
    <t>https://journals.lww.com/neuopenonline</t>
  </si>
  <si>
    <t>0003-4932</t>
  </si>
  <si>
    <t>https://ovidsp.ovid.com/rss/journals/00003012/pap.rss</t>
  </si>
  <si>
    <t>International Journal of Women’s Dermatology</t>
  </si>
  <si>
    <t>01202412</t>
  </si>
  <si>
    <t>1932-8095</t>
  </si>
  <si>
    <t>00042737</t>
  </si>
  <si>
    <t>https://ovidsp.ovid.com/rss/journals/00042737/pap.rss</t>
  </si>
  <si>
    <t>0886-3350</t>
  </si>
  <si>
    <t>https://ovidsp.ovid.com/rss/journals/02039743/current.rss</t>
  </si>
  <si>
    <t>http://journals.lww.com/cja</t>
  </si>
  <si>
    <t>http://journals.lww.com/neurotodayonline</t>
  </si>
  <si>
    <t>Reviews and Research in Medical Microbiology</t>
  </si>
  <si>
    <t>https://journals.lww.com/ctg</t>
  </si>
  <si>
    <t>https://journals.lww.com/annals-of-medicine-and-surgery</t>
  </si>
  <si>
    <t>02274916</t>
  </si>
  <si>
    <t>https://journals.lww.com/ijebh/</t>
  </si>
  <si>
    <t>2026-01-20</t>
  </si>
  <si>
    <t>https://ovidsp.ovid.com/rss/journals/00045413/current.rss</t>
  </si>
  <si>
    <t>2006-09-01</t>
  </si>
  <si>
    <t>Evidence-Based Gastroenterology</t>
  </si>
  <si>
    <t>2016-10-01</t>
  </si>
  <si>
    <t>2003-03-01</t>
  </si>
  <si>
    <t>http://journals.lww.com/pccmjournal</t>
  </si>
  <si>
    <t>LWW Total Access Collection 2026 version w-Neurology 2015-present</t>
  </si>
  <si>
    <t>?</t>
  </si>
  <si>
    <t>Behavioral &amp; Social Sciences;Clinical Medicine;Pharmacology;Nursing</t>
  </si>
  <si>
    <t>Neurosurgery</t>
  </si>
  <si>
    <t>https://ovidsp.ovid.com/rss/journals/00124743/current.rss</t>
  </si>
  <si>
    <t>Order</t>
  </si>
  <si>
    <t>00003677</t>
  </si>
  <si>
    <t>1936-6760</t>
  </si>
  <si>
    <t>02272498</t>
  </si>
  <si>
    <t>Nursing;Life &amp; Biomedical Sciences;Clinical Medicine</t>
  </si>
  <si>
    <t>https://ovidsp.ovid.com/rss/journals/00002030/current.rss</t>
  </si>
  <si>
    <t>https://ovidsp.ovid.com/rss/journals/00003226/pap.rss</t>
  </si>
  <si>
    <t>Nutrition &amp; the M.D.</t>
  </si>
  <si>
    <t>00132589</t>
  </si>
  <si>
    <t>Infectious Microbes and Diseases</t>
  </si>
  <si>
    <t>00126548</t>
  </si>
  <si>
    <t>00075197</t>
  </si>
  <si>
    <t>https://journals.lww.com/alzheimerjournal</t>
  </si>
  <si>
    <t>https://journals.lww.com/jno/</t>
  </si>
  <si>
    <t>Clinical Orthopaedics &amp; Related Research</t>
  </si>
  <si>
    <t>https://journals.lww.com/ebctjournal/</t>
  </si>
  <si>
    <t>00004872</t>
  </si>
  <si>
    <t>2020-03-01 - 2023-03-01</t>
  </si>
  <si>
    <t>https://ovidsp.ovid.com/rss/journals/00132582/current.rss</t>
  </si>
  <si>
    <t>2160-3251</t>
  </si>
  <si>
    <t>Journal of the American College of Surgeons</t>
  </si>
  <si>
    <t>3065-2693</t>
  </si>
  <si>
    <t>00005082</t>
  </si>
  <si>
    <t>0362-2436</t>
  </si>
  <si>
    <t>https://ovidsp.ovid.com/rss/journals/01938924/pap.rss</t>
  </si>
  <si>
    <t>1079-4220</t>
  </si>
  <si>
    <t>02211172</t>
  </si>
  <si>
    <t>00139143</t>
  </si>
  <si>
    <t>1935-1089</t>
  </si>
  <si>
    <t>2329-9185</t>
  </si>
  <si>
    <t>https://ovidsp.ovid.com/rss/journals/00001432/pap.rss</t>
  </si>
  <si>
    <t>Current Opinion in Oncology</t>
  </si>
  <si>
    <t>1540-0514</t>
  </si>
  <si>
    <t>https://ovidsp.ovid.com/rss/journals/00001782/current.rss</t>
  </si>
  <si>
    <t>https://ovidsp.ovid.com/rss/journals/00129492/pap.rss</t>
  </si>
  <si>
    <t>AASLD Collection w/coverage from 2015</t>
  </si>
  <si>
    <t>https://ovidsp.ovid.com/rss/journals/00001416/current.rss</t>
  </si>
  <si>
    <t>https://ovidsp.ovid.com/rss/journals/00005721/pap.rss</t>
  </si>
  <si>
    <t>1932-3883</t>
  </si>
  <si>
    <t>CONTINUUM: Lifelong Learning in Neurology</t>
  </si>
  <si>
    <t>Clinical Medicine;Health Professions</t>
  </si>
  <si>
    <t>1055-3290</t>
  </si>
  <si>
    <t>https://ovidsp.ovid.com/rss/journals/00003677/current.rss</t>
  </si>
  <si>
    <t>JCO Global Oncology</t>
  </si>
  <si>
    <t>Cornea Open</t>
  </si>
  <si>
    <t>OVIDSP</t>
  </si>
  <si>
    <t>2016-01-01 - 2025-10-01</t>
  </si>
  <si>
    <t>Infectious Diseases &amp; Immunity</t>
  </si>
  <si>
    <t>https://ovidsp.ovid.com/rss/journals/00042728/current.rss</t>
  </si>
  <si>
    <t>01960907</t>
  </si>
  <si>
    <t>JBJS Case Connector</t>
  </si>
  <si>
    <t>https://journals.lww.com/acsm-healthfitness</t>
  </si>
  <si>
    <t>Publisher</t>
  </si>
  <si>
    <t>https://ovidsp.ovid.com/rss/journals/00132981/current.rss</t>
  </si>
  <si>
    <t>2015-03-01 - 2020-06-01</t>
  </si>
  <si>
    <t>1742-8009</t>
  </si>
  <si>
    <t>https://ovidsp.ovid.com/rss/journals/00006565/current.rss</t>
  </si>
  <si>
    <t>2025-10-16</t>
  </si>
  <si>
    <t>https://journals.lww.com/fpmrs/pages/default.aspx</t>
  </si>
  <si>
    <t>2023-01-01 - 2026-01-01</t>
  </si>
  <si>
    <t>http://journals.lww.com/eurjcancerprev</t>
  </si>
  <si>
    <t>2007-02-01</t>
  </si>
  <si>
    <t>2017-03-01 - 2026-01-01</t>
  </si>
  <si>
    <t>1550-512X</t>
  </si>
  <si>
    <t>https://ovidsp.ovid.com/rss/journals/00042752/pap.rss</t>
  </si>
  <si>
    <t>https://ovidsp.ovid.com/rss/journals/01845215/current.rss</t>
  </si>
  <si>
    <t>2007-09-01</t>
  </si>
  <si>
    <t>http://journals.lww.com/techfootankle</t>
  </si>
  <si>
    <t>2023-01-01 - 2025-01-01</t>
  </si>
  <si>
    <t>1524-4571</t>
  </si>
  <si>
    <t>Current Opinion in Nephrology &amp; Hypertension</t>
  </si>
  <si>
    <t>0033-3174</t>
  </si>
  <si>
    <t>Plastic &amp; Reconstructive Surgery</t>
  </si>
  <si>
    <t>Biomedical Safety &amp; Standards</t>
  </si>
  <si>
    <t>Blood Pressure Monitoring</t>
  </si>
  <si>
    <t>http://journals.lww.com/obstetricanesthesia</t>
  </si>
  <si>
    <t>https://ovidsp.ovid.com/rss/journals/00000372/pap.rss</t>
  </si>
  <si>
    <t>Addictive Disorders &amp; Their Treatment</t>
  </si>
  <si>
    <t>00060867</t>
  </si>
  <si>
    <t>1943-0701</t>
  </si>
  <si>
    <t>1536-5395</t>
  </si>
  <si>
    <t>https://ovidsp.ovid.com/rss/journals/01241330/current.rss</t>
  </si>
  <si>
    <t>02275289</t>
  </si>
  <si>
    <t>0009-921X</t>
  </si>
  <si>
    <t>2691-3895</t>
  </si>
  <si>
    <t>https://ovidsp.ovid.com/rss/journals/00042192/current.rss</t>
  </si>
  <si>
    <t>01938924</t>
  </si>
  <si>
    <t>01586154</t>
  </si>
  <si>
    <t>https://ovidsp.ovid.com/rss/journals/00002508/pap.rss</t>
  </si>
  <si>
    <t>Journal of Neuro-Ophthalmology</t>
  </si>
  <si>
    <t>2022-01-01 - 2026-01-01</t>
  </si>
  <si>
    <t>02273805</t>
  </si>
  <si>
    <t>2471-254X</t>
  </si>
  <si>
    <t>2015-03-01</t>
  </si>
  <si>
    <t>00129804</t>
  </si>
  <si>
    <t>1365-2346</t>
  </si>
  <si>
    <t>2666-769X</t>
  </si>
  <si>
    <t>http://journals.lww.com/retinajournal</t>
  </si>
  <si>
    <t>http://journals.lww.com/simulationinhealthcare</t>
  </si>
  <si>
    <t>2002-05-01</t>
  </si>
  <si>
    <t>01212979</t>
  </si>
  <si>
    <t>Journal of Geriatric Physical Therapy</t>
  </si>
  <si>
    <t>00000421</t>
  </si>
  <si>
    <t>2014-06-01 - 2025-12-01</t>
  </si>
  <si>
    <t>1044-3983</t>
  </si>
  <si>
    <t>https://journals.lww.com/neurosurgery</t>
  </si>
  <si>
    <t>00075198</t>
  </si>
  <si>
    <t>https://ovidsp.ovid.com/rss/journals/01949578/current.rss</t>
  </si>
  <si>
    <t>1524-4725</t>
  </si>
  <si>
    <t>2000-01-01 - 2004-10-01</t>
  </si>
  <si>
    <t>http://journals.lww.com/heartinsight</t>
  </si>
  <si>
    <t>Topics in Obstetrics &amp; Gynecology</t>
  </si>
  <si>
    <t>Current Opinion in Ophthalmology</t>
  </si>
  <si>
    <t>2015-01-01 - 2025-10-01</t>
  </si>
  <si>
    <t>00029330</t>
  </si>
  <si>
    <t>https://ovidsp.ovid.com/rss/journals/00006982/pap.rss</t>
  </si>
  <si>
    <t>1945-760X</t>
  </si>
  <si>
    <t>00001648</t>
  </si>
  <si>
    <t>https://ovidsp.ovid.com/rss/journals/02249956/current.rss</t>
  </si>
  <si>
    <t>Clinical Nuclear Medicine</t>
  </si>
  <si>
    <t>2013-01-01</t>
  </si>
  <si>
    <t>00004356</t>
  </si>
  <si>
    <t>https://ovidsp.ovid.com/rss/journals/00001782/pap.rss</t>
  </si>
  <si>
    <t>2015-06-01</t>
  </si>
  <si>
    <t>2020-09-01</t>
  </si>
  <si>
    <t>https://ovidsp.ovid.com/rss/journals/00004397/current.rss</t>
  </si>
  <si>
    <t>00124278</t>
  </si>
  <si>
    <t>01437870</t>
  </si>
  <si>
    <t>Investigative Radiology</t>
  </si>
  <si>
    <t>https://ovidsp.ovid.com/rss/journals/00001504/pap.rss</t>
  </si>
  <si>
    <t>02273349</t>
  </si>
  <si>
    <t>https://journals.lww.com/eccm</t>
  </si>
  <si>
    <t>Neurology Clinical Practice</t>
  </si>
  <si>
    <t>Spine Open</t>
  </si>
  <si>
    <t>00007670</t>
  </si>
  <si>
    <t>Exercise, Sport and Movement</t>
  </si>
  <si>
    <t>https://ovidsp.ovid.com/rss/journals/00152232/current.rss</t>
  </si>
  <si>
    <t>1535-1815</t>
  </si>
  <si>
    <t>1535-1122</t>
  </si>
  <si>
    <t>Journal of Patient Safety</t>
  </si>
  <si>
    <t>2018-05-01</t>
  </si>
  <si>
    <t>1550-5014</t>
  </si>
  <si>
    <t>1533-4112</t>
  </si>
  <si>
    <t>00007632</t>
  </si>
  <si>
    <t>https://ovidsp.ovid.com/rss/journals/01515467/pap.rss</t>
  </si>
  <si>
    <t>https://ovidsp.ovid.com/rss/journals/01592394/pap.rss</t>
  </si>
  <si>
    <t>http://journals.lww.com/jnsdonline</t>
  </si>
  <si>
    <t>1536-7312</t>
  </si>
  <si>
    <t>2011-10-01</t>
  </si>
  <si>
    <t>https://ovidsp.ovid.com/rss/journals/00004836/pap.rss</t>
  </si>
  <si>
    <t>https://ovidsp.ovid.com/rss/journals/02186187/current.rss</t>
  </si>
  <si>
    <t>Orthoplastic Surgery</t>
  </si>
  <si>
    <t>2026-01-30</t>
  </si>
  <si>
    <t>Integrative Medicine in Nephrology and Andrology</t>
  </si>
  <si>
    <t>01949578</t>
  </si>
  <si>
    <t>https://ovidsp.ovid.com/rss/journals/02272498/pap.rss</t>
  </si>
  <si>
    <t>Latest Volume</t>
  </si>
  <si>
    <t>http://journals.lww.com/jhqonline</t>
  </si>
  <si>
    <t>Beginning Volume</t>
  </si>
  <si>
    <t>1531-6998</t>
  </si>
  <si>
    <t>https://ovidsp.ovid.com/rss/journals/01741002/pap.rss</t>
  </si>
  <si>
    <t>2015-01-01 - 2022-04-01</t>
  </si>
  <si>
    <t>International Ophthalmology Clinics</t>
  </si>
  <si>
    <t>00008505</t>
  </si>
  <si>
    <t>Current Opinion in Obstetrics &amp; Gynecology</t>
  </si>
  <si>
    <t>https://ovidsp.ovid.com/rss/journals/02158034/pap.rss</t>
  </si>
  <si>
    <t>02118581</t>
  </si>
  <si>
    <t>Prosthetics &amp; Orthotics International</t>
  </si>
  <si>
    <t>Journal of Cardiovascular Medicine</t>
  </si>
  <si>
    <t>2025-06-01 - 2025-12-01</t>
  </si>
  <si>
    <t>http://journals.lww.com/co-ophthalmology</t>
  </si>
  <si>
    <t>0954-691X</t>
  </si>
  <si>
    <t>2009-11-01</t>
  </si>
  <si>
    <t>1539-591X</t>
  </si>
  <si>
    <t>2022-08-01</t>
  </si>
  <si>
    <t>https://ovidsp.ovid.com/rss/journals/02260475/pap.rss</t>
  </si>
  <si>
    <t>Medicine</t>
  </si>
  <si>
    <t>Clinical Dysmorphology</t>
  </si>
  <si>
    <t>Health Professions;Nursing</t>
  </si>
  <si>
    <t>https://ovidsp.ovid.com/rss/journals/00041327/pap.rss</t>
  </si>
  <si>
    <t>https://ovidsp.ovid.com/rss/journals/01300517/current.rss</t>
  </si>
  <si>
    <t>1528-1175</t>
  </si>
  <si>
    <t>1526-7598</t>
  </si>
  <si>
    <t>https://ovidsp.ovid.com/rss/journals/00001703/pap.rss</t>
  </si>
  <si>
    <t>JAAPA</t>
  </si>
  <si>
    <t>https://ovidsp.ovid.com/rss/journals/00001721/current.rss</t>
  </si>
  <si>
    <t>1538-9766</t>
  </si>
  <si>
    <t>https://ovidsp.ovid.com/rss/journals/01845215/pap.rss</t>
  </si>
  <si>
    <t>https://ovidsp.ovid.com/rss/journals/00126334/pap.rss</t>
  </si>
  <si>
    <t>00005217</t>
  </si>
  <si>
    <t>https://ovidsp.ovid.com/rss/journals/00000658/current.rss</t>
  </si>
  <si>
    <t>https://ovidsp.ovid.com/rss/journals/01271221/current.rss</t>
  </si>
  <si>
    <t>Rehabilitation Oncology</t>
  </si>
  <si>
    <t>2018-04-01 - 2025-12-01</t>
  </si>
  <si>
    <t>1473-6519</t>
  </si>
  <si>
    <t>https://ascopubs.org/toc/edbk/current</t>
  </si>
  <si>
    <t>1531-7048</t>
  </si>
  <si>
    <t>2022-11-01 - 2025-12-01</t>
  </si>
  <si>
    <t>https://journals.lww.com/hepcomm</t>
  </si>
  <si>
    <t>https://journals.lww.com/jcrs</t>
  </si>
  <si>
    <t>https://journals.lww.com/md-journal/</t>
  </si>
  <si>
    <t>0957-9672</t>
  </si>
  <si>
    <t>http://journals.lww.com/topicsinpainmanagement</t>
  </si>
  <si>
    <t>1527-6465</t>
  </si>
  <si>
    <t>https://ovidsp.ovid.com/rss/journals/02014405/current.rss</t>
  </si>
  <si>
    <t>https://www.neurology.org/journal/nxi</t>
  </si>
  <si>
    <t>http://journals.lww.com/pain</t>
  </si>
  <si>
    <t>1077-4114</t>
  </si>
  <si>
    <t>http://journals.lww.com/hcmrjournal</t>
  </si>
  <si>
    <t>2025-01-01</t>
  </si>
  <si>
    <t>2005-01-01 - 2010-11-01</t>
  </si>
  <si>
    <t>00132986</t>
  </si>
  <si>
    <t>2837-8806</t>
  </si>
  <si>
    <t>International Journal of Surgery Open</t>
  </si>
  <si>
    <t>https://ovidsp.ovid.com/rss/journals/02070903/pap.rss</t>
  </si>
  <si>
    <t>2008-01-01 - 2012-12-01</t>
  </si>
  <si>
    <t>Nursing Critical Care</t>
  </si>
  <si>
    <t>https://ovidsp.ovid.com/rss/journals/00129191/current.rss</t>
  </si>
  <si>
    <t>1941-9449</t>
  </si>
  <si>
    <t>00004032</t>
  </si>
  <si>
    <t>Clinical Medicine;Nursing;Health Professions</t>
  </si>
  <si>
    <t>Primary Subset</t>
  </si>
  <si>
    <t>02273893</t>
  </si>
  <si>
    <t>1752-296X</t>
  </si>
  <si>
    <t>2001-01-01</t>
  </si>
  <si>
    <t>2577-3577</t>
  </si>
  <si>
    <t>3066-8905</t>
  </si>
  <si>
    <t>00062752</t>
  </si>
  <si>
    <t>https://ovidsp.ovid.com/rss/journals/02123149/current.rss</t>
  </si>
  <si>
    <t>Cardiology in Review</t>
  </si>
  <si>
    <t>1473-5741</t>
  </si>
  <si>
    <t>0277-3740</t>
  </si>
  <si>
    <t>00008480</t>
  </si>
  <si>
    <t>Immunometabolism</t>
  </si>
  <si>
    <t>01337441</t>
  </si>
  <si>
    <t>01183741</t>
  </si>
  <si>
    <t>Point of Care: The Journal of Near-Patient Testing &amp; Technology</t>
  </si>
  <si>
    <t>00004728</t>
  </si>
  <si>
    <t>https://ovidsp.ovid.com/rss/journals/00012995/current.rss</t>
  </si>
  <si>
    <t>Spine Research</t>
  </si>
  <si>
    <t>Alzheimer's Care Today</t>
  </si>
  <si>
    <t>Life &amp; Biomedical Sciences;Health Professions;Clinical Medicine;Nursing</t>
  </si>
  <si>
    <t>02211145</t>
  </si>
  <si>
    <t>01279778</t>
  </si>
  <si>
    <t>2001-03-01 - 2016-11-01</t>
  </si>
  <si>
    <t>02276750</t>
  </si>
  <si>
    <t>https://ovidsp.ovid.com/rss/journals/00004850/current.rss</t>
  </si>
  <si>
    <t>https://ovidsp.ovid.com/rss/journals/00004728/current.rss</t>
  </si>
  <si>
    <t>00029679</t>
  </si>
  <si>
    <t>https://ovidsp.ovid.com/rss/journals/00019514/current.rss</t>
  </si>
  <si>
    <t>1076-2752</t>
  </si>
  <si>
    <t>https://ovidsp.ovid.com/rss/journals/00006416/current.rss</t>
  </si>
  <si>
    <t>1525-8599</t>
  </si>
  <si>
    <t>00001573</t>
  </si>
  <si>
    <t>http://journals.lww.com/co-criticalcare</t>
  </si>
  <si>
    <t>https://ovidsp.ovid.com/rss/journals/01300408/current.rss</t>
  </si>
  <si>
    <t>00124635</t>
  </si>
  <si>
    <t>Physical Science &amp; Engineering;Clinical Medicine</t>
  </si>
  <si>
    <t>2016-09-01 - 2025-12-01</t>
  </si>
  <si>
    <t>0749-5161</t>
  </si>
  <si>
    <t>https://journals.lww.com/immunometabolism/</t>
  </si>
  <si>
    <t>https://journals.lww.com/addictiondisorders</t>
  </si>
  <si>
    <t>http://journals.lww.com/clindysmorphol</t>
  </si>
  <si>
    <t>http://journals.lww.com/nuclearmedicinecomm</t>
  </si>
  <si>
    <t>PAIN Reports</t>
  </si>
  <si>
    <t>1941-7632</t>
  </si>
  <si>
    <t>RSS Feed URL</t>
  </si>
  <si>
    <t>2015-01-02 - 2026-01-30</t>
  </si>
  <si>
    <t>0002-936X</t>
  </si>
  <si>
    <t>https://ovidsp.ovid.com/rss/journals/01271216/current.rss</t>
  </si>
  <si>
    <t>2352-0779</t>
  </si>
  <si>
    <t>1537-162X</t>
  </si>
  <si>
    <t>https://ovidsp.ovid.com/rss/journals/00004714/current.rss</t>
  </si>
  <si>
    <t>Critical Pathways in Cardiology: A Journal of Evidence-Based Medicine</t>
  </si>
  <si>
    <t>02186187</t>
  </si>
  <si>
    <t>LTOT-Y1-N26</t>
  </si>
  <si>
    <t>https://ovidsp.ovid.com/rss/journals/02075970/current.rss</t>
  </si>
  <si>
    <t>https://ovidsp.ovid.com/rss/journals/00003246/pap.rss</t>
  </si>
  <si>
    <t>2007-08-01</t>
  </si>
  <si>
    <t>2994-9750</t>
  </si>
  <si>
    <t>00005237</t>
  </si>
  <si>
    <t>https://ovidsp.ovid.com/rss/journals/01412499/pap.rss</t>
  </si>
  <si>
    <t>https://ovidsp.ovid.com/rss/journals/02272668/current.rss</t>
  </si>
  <si>
    <t>3S</t>
  </si>
  <si>
    <t>Nursing;Clinical Medicine</t>
  </si>
  <si>
    <t>2026-03-01</t>
  </si>
  <si>
    <t>02274341</t>
  </si>
  <si>
    <t>2007-09-01 - 2026-01-01</t>
  </si>
  <si>
    <t>2331-1681</t>
  </si>
  <si>
    <t>2020-10-01</t>
  </si>
  <si>
    <t>01213011</t>
  </si>
  <si>
    <t>http://journals.lww.com/prsgo</t>
  </si>
  <si>
    <t>http://journals.lww.com/joem</t>
  </si>
  <si>
    <t>https://ovidsp.ovid.com/rss/journals/00008480/current.rss</t>
  </si>
  <si>
    <t>Behavioral &amp; Social Sciences</t>
  </si>
  <si>
    <t>2015-01-15 - 2015-12-31</t>
  </si>
  <si>
    <t>2332-7812</t>
  </si>
  <si>
    <t>https://ovidsp.ovid.com/rss/journals/02273827/current.rss</t>
  </si>
  <si>
    <t>0020-5907</t>
  </si>
  <si>
    <t>https://ovidsp.ovid.com/rss/journals/01356735/current.rss</t>
  </si>
  <si>
    <t>2474-7882</t>
  </si>
  <si>
    <t>https://ovidsp.ovid.com/rss/journals/00005082/current.rss</t>
  </si>
  <si>
    <t>2018-10-01 - 2025-06-01</t>
  </si>
  <si>
    <t>https://ovidsp.ovid.com/rss/journals/00002480/current.rss</t>
  </si>
  <si>
    <t>http://journals.lww.com/techortho</t>
  </si>
  <si>
    <t>http://journals.lww.com/clinicalpain</t>
  </si>
  <si>
    <t>Urology Practice</t>
  </si>
  <si>
    <t>European Journal of Anaesthesiology</t>
  </si>
  <si>
    <t>2771-9979</t>
  </si>
  <si>
    <t>Journal of Psychiatric Practice</t>
  </si>
  <si>
    <t>http://journals.lww.com/itch</t>
  </si>
  <si>
    <t>https://ovidsp.ovid.com/rss/journals/00006396/current.rss</t>
  </si>
  <si>
    <t>1541-5783</t>
  </si>
  <si>
    <t>Techniques in Ophthalmology</t>
  </si>
  <si>
    <t>0360-4039</t>
  </si>
  <si>
    <t>00003246</t>
  </si>
  <si>
    <t>1530-0293</t>
  </si>
  <si>
    <t>2016-05-01</t>
  </si>
  <si>
    <t>https://ovidsp.ovid.com/rss/journals/00024776/pap.rss</t>
  </si>
  <si>
    <t>http://journals.lww.com/jcnmd</t>
  </si>
  <si>
    <t>The Clinical Journal of Pain</t>
  </si>
  <si>
    <t>2026-12-01</t>
  </si>
  <si>
    <t>https://journals.lww.com/aidsonline</t>
  </si>
  <si>
    <t>00005344</t>
  </si>
  <si>
    <t>00149525</t>
  </si>
  <si>
    <t>2019-01-01</t>
  </si>
  <si>
    <t>https://ovidsp.ovid.com/rss/journals/01337493/current.rss</t>
  </si>
  <si>
    <t>Journal of the Dermatology Nurses' Association</t>
  </si>
  <si>
    <t>https://ovidsp.ovid.com/rss/journals/00000421/current.rss</t>
  </si>
  <si>
    <t>https://ovidsp.ovid.com/rss/journals/01266029/pap.rss</t>
  </si>
  <si>
    <t>2005-01-15</t>
  </si>
  <si>
    <t>https://ovidsp.ovid.com/rss/journals/01436970/pap.rss</t>
  </si>
  <si>
    <t>2015-03-01 - 2026-01-01</t>
  </si>
  <si>
    <t>https://ovidsp.ovid.com/rss/journals/00007435/pap.rss</t>
  </si>
  <si>
    <t>1531-7013</t>
  </si>
  <si>
    <t>http://journals.lww.com/retinalcases</t>
  </si>
  <si>
    <t>1548-7148</t>
  </si>
  <si>
    <t>https://ovidsp.ovid.com/rss/journals/00132579/current.rss</t>
  </si>
  <si>
    <t>http://journals.lww.com/jhmonline</t>
  </si>
  <si>
    <t>https://ovidsp.ovid.com/rss/journals/00006534/pap.rss</t>
  </si>
  <si>
    <t>Health Physics</t>
  </si>
  <si>
    <t>Family &amp; Community Health</t>
  </si>
  <si>
    <t>1473-5830</t>
  </si>
  <si>
    <t>2542-629X</t>
  </si>
  <si>
    <t>https://ovidsp.ovid.com/rss/journals/00002341/current.rss</t>
  </si>
  <si>
    <t>2023-09-01</t>
  </si>
  <si>
    <t>02035266</t>
  </si>
  <si>
    <t>Clinical Nutrition INSIGHT</t>
  </si>
  <si>
    <t>https://ovidsp.ovid.com/rss/journals/02200512/current.rss</t>
  </si>
  <si>
    <t>Gastroenterology &amp; Hepatology</t>
  </si>
  <si>
    <t>00132583</t>
  </si>
  <si>
    <t>2998-8748</t>
  </si>
  <si>
    <t>2016-07-01 - 2026-02-01</t>
  </si>
  <si>
    <t>Alzheimer's Care Quarterly</t>
  </si>
  <si>
    <t>00042192</t>
  </si>
  <si>
    <t>https://ovidsp.ovid.com/rss/journals/01932788/current.rss</t>
  </si>
  <si>
    <t>https://journals.lww.com/americantherapeutics</t>
  </si>
  <si>
    <t>1473-6500</t>
  </si>
  <si>
    <t>https://www.neurology.org/journal/ne9</t>
  </si>
  <si>
    <t>00004479</t>
  </si>
  <si>
    <t>https://ovidsp.ovid.com/rss/journals/00219246/current.rss</t>
  </si>
  <si>
    <t>2026-01-27</t>
  </si>
  <si>
    <t>2017-09-01</t>
  </si>
  <si>
    <t>1533-4015</t>
  </si>
  <si>
    <t>https://ovidsp.ovid.com/rss/journals/00019605/current.rss</t>
  </si>
  <si>
    <t>https://ovidsp.ovid.com/rss/journals/00007670/pap.rss</t>
  </si>
  <si>
    <t>Melanoma Research</t>
  </si>
  <si>
    <t>https://www.ahajournals.org/journal/circep</t>
  </si>
  <si>
    <t>Current Opinion in Endocrinology, Diabetes &amp; Obesity</t>
  </si>
  <si>
    <t>http://journals.lww.com/cdronline</t>
  </si>
  <si>
    <t>2015-01-01 - 2024-11-01</t>
  </si>
  <si>
    <t>https://journals.lww.com/onojournal</t>
  </si>
  <si>
    <t>https://journals.lww.com/adversedrugreactbull</t>
  </si>
  <si>
    <t>02205615</t>
  </si>
  <si>
    <t>2015-01-07 - 2026-01-21</t>
  </si>
  <si>
    <t>http://journals.lww.com/painrpts</t>
  </si>
  <si>
    <t>Current Opinion in HIV and AIDS</t>
  </si>
  <si>
    <t>Journal of Pediatric Hematology/Oncology</t>
  </si>
  <si>
    <t>https://ovidsp.ovid.com/rss/journals/00006114/pap.rss</t>
  </si>
  <si>
    <t>https://ovidsp.ovid.com/rss/journals/02272941/current.rss</t>
  </si>
  <si>
    <t>01219183</t>
  </si>
  <si>
    <t>https://ovidsp.ovid.com/rss/journals/00129492/current.rss</t>
  </si>
  <si>
    <t>02174543</t>
  </si>
  <si>
    <t>https://ovidsp.ovid.com/rss/journals/00006247/pap.rss</t>
  </si>
  <si>
    <t>1936-9255</t>
  </si>
  <si>
    <t>Behavioral &amp; Social Sciences;Clinical Medicine;Pharmacology;Nursing;Public Health</t>
  </si>
  <si>
    <t>0039-2499</t>
  </si>
  <si>
    <t>https://journals.lww.com/ccejournal</t>
  </si>
  <si>
    <t>2015-01-07</t>
  </si>
  <si>
    <t>00041327</t>
  </si>
  <si>
    <t>01741002</t>
  </si>
  <si>
    <t>Journal of Cardiovascular Nursing</t>
  </si>
  <si>
    <t>1537-1913</t>
  </si>
  <si>
    <t>https://ovidsp.ovid.com/rss/journals/00001751/pap.rss</t>
  </si>
  <si>
    <t>Liver Transplantation</t>
  </si>
  <si>
    <t>http://journals.lww.com/jbjsreviews</t>
  </si>
  <si>
    <t>01938899</t>
  </si>
  <si>
    <t>http://journals.lww.com/ejanaesthesiology</t>
  </si>
  <si>
    <t>02272941</t>
  </si>
  <si>
    <t>Reviews in Medical Microbiology</t>
  </si>
  <si>
    <t>1538-6899</t>
  </si>
  <si>
    <t>https://ovidsp.ovid.com/rss/journals/00006454/pap.rss</t>
  </si>
  <si>
    <t>http://journals.lww.com/co-anesthesiology</t>
  </si>
  <si>
    <t>0149-9009</t>
  </si>
  <si>
    <t>00000433</t>
  </si>
  <si>
    <t>2015-02-01 - 2026-01-01</t>
  </si>
  <si>
    <t>0963-0643</t>
  </si>
  <si>
    <t>Journal of Women's &amp; Pelvic Health Physical Therapy</t>
  </si>
  <si>
    <t>Journal of Integrative Nephrology &amp; Andrology</t>
  </si>
  <si>
    <t>https://ovidsp.ovid.com/rss/journals/02091979/current.rss</t>
  </si>
  <si>
    <t>2327-6924</t>
  </si>
  <si>
    <t>https://ovidsp.ovid.com/rss/journals/01337498/pap.rss</t>
  </si>
  <si>
    <t>01271211</t>
  </si>
  <si>
    <t>https://ovidsp.ovid.com/rss/journals/02123147/current.rss</t>
  </si>
  <si>
    <t>00012995</t>
  </si>
  <si>
    <t>2016-01-01</t>
  </si>
  <si>
    <t>https://ovidsp.ovid.com/rss/journals/00004836/current.rss</t>
  </si>
  <si>
    <t>http://journals.lww.com/pancreasjournal</t>
  </si>
  <si>
    <t>https://ovidsp.ovid.com/rss/journals/00002826/current.rss</t>
  </si>
  <si>
    <t>https://ovidsp.ovid.com/rss/journals/00124743/pap.rss</t>
  </si>
  <si>
    <t>00024776</t>
  </si>
  <si>
    <t>http://journals.lww.com/em-news</t>
  </si>
  <si>
    <t>https://ovidsp.ovid.com/rss/journals/00024720/current.rss</t>
  </si>
  <si>
    <t>0883-5993</t>
  </si>
  <si>
    <t>01940646</t>
  </si>
  <si>
    <t>1539-0667</t>
  </si>
  <si>
    <t>2024-11-01</t>
  </si>
  <si>
    <t>2014-09-01</t>
  </si>
  <si>
    <t>https://ovidsp.ovid.com/rss/journals/00007435/current.rss</t>
  </si>
  <si>
    <t>2015-01-01 - 2026-02-01</t>
  </si>
  <si>
    <t>1473-6586</t>
  </si>
  <si>
    <t>http://journals.lww.com/ultrasound-quarterly</t>
  </si>
  <si>
    <t>Pub Year</t>
  </si>
  <si>
    <t>https://ovidsp.ovid.com/rss/journals/02035266/current.rss</t>
  </si>
  <si>
    <t>2009-04-01 - 2010-12-01</t>
  </si>
  <si>
    <t>https://ovidsp.ovid.com/rss/journals/01823246/pap.rss</t>
  </si>
  <si>
    <t>0002-9270</t>
  </si>
  <si>
    <t>2019-09-01</t>
  </si>
  <si>
    <t>1063-8628</t>
  </si>
  <si>
    <t>https://ascopubs.org/journal/go</t>
  </si>
  <si>
    <t>Journal of Hypertension</t>
  </si>
  <si>
    <t>https://ovidsp.ovid.com/rss/journals/00024776/current.rss</t>
  </si>
  <si>
    <t>https://ovidsp.ovid.com/rss/journals/00004311/current.rss</t>
  </si>
  <si>
    <t>http://journals.lww.com/eurojgh</t>
  </si>
  <si>
    <t>00146965</t>
  </si>
  <si>
    <t>https://ovidsp.ovid.com/rss/journals/02276245/pap.rss</t>
  </si>
  <si>
    <t>2023-01-01</t>
  </si>
  <si>
    <t>2019-07-01 - 2026-01-01</t>
  </si>
  <si>
    <t>Advances in Skin &amp; Wound Care</t>
  </si>
  <si>
    <t>http://journals.lww.com/jpelvicsurgery</t>
  </si>
  <si>
    <t>https://ovidsp.ovid.com/rss/journals/00010694/current.rss</t>
  </si>
  <si>
    <t>Journal of Hospice &amp; Palliative Nursing</t>
  </si>
  <si>
    <t>http://journals.lww.com/melanomaresearch</t>
  </si>
  <si>
    <t>1473-656X</t>
  </si>
  <si>
    <t>2096-2924</t>
  </si>
  <si>
    <t>2015-01-01 - 2022-07-01</t>
  </si>
  <si>
    <t>1473-5687</t>
  </si>
  <si>
    <t>Journal of Thoracic Imaging</t>
  </si>
  <si>
    <t>https://ovidsp.ovid.com/rss/journals/00587875/current.rss</t>
  </si>
  <si>
    <t>https://ovidsp.ovid.com/rss/journals/00006231/pap.rss</t>
  </si>
  <si>
    <t>00006479</t>
  </si>
  <si>
    <t>https://ovidsp.ovid.com/rss/journals/00008486/current.rss</t>
  </si>
  <si>
    <t>00002800</t>
  </si>
  <si>
    <t>https://ovidsp.ovid.com/rss/journals/00126334/current.rss</t>
  </si>
  <si>
    <t>1543-9879</t>
  </si>
  <si>
    <t>2015-10-01 - 2019-12-01</t>
  </si>
  <si>
    <t>https://ovidsp.ovid.com/rss/journals/01271211/current.rss</t>
  </si>
  <si>
    <t>ISBN-10</t>
  </si>
  <si>
    <t>https://ovidsp.ovid.com/rss/journals/00042192/pap.rss</t>
  </si>
  <si>
    <t>http://journals.lww.com/jrnldbp</t>
  </si>
  <si>
    <t>Pain</t>
  </si>
  <si>
    <t>00006199</t>
  </si>
  <si>
    <t>American Journal of Physical Medicine &amp; Rehabilitation</t>
  </si>
  <si>
    <t>0029-666X</t>
  </si>
  <si>
    <t>01271255</t>
  </si>
  <si>
    <t>https://ovidsp.ovid.com/rss/journals/00000433/pap.rss</t>
  </si>
  <si>
    <t>1533-0311</t>
  </si>
  <si>
    <t>2154-4212</t>
  </si>
  <si>
    <t>2015-02-01 - 2015-12-01</t>
  </si>
  <si>
    <t>3068-4129</t>
  </si>
  <si>
    <t>0020-6571</t>
  </si>
  <si>
    <t>https://ovidsp.ovid.com/rss/journals/01330296/pap.rss</t>
  </si>
  <si>
    <t>https://ovidsp.ovid.com/rss/journals/00005650/pap.rss</t>
  </si>
  <si>
    <t>00025572</t>
  </si>
  <si>
    <t>00219246</t>
  </si>
  <si>
    <t>2004-01-01 - 2023-12-01</t>
  </si>
  <si>
    <t>02054256</t>
  </si>
  <si>
    <t>1538-9804</t>
  </si>
  <si>
    <t>2162-688X</t>
  </si>
  <si>
    <t>Behavioral &amp; Social Sciences;Nursing</t>
  </si>
  <si>
    <t>https://ovidsp.ovid.com/rss/journals/01929425/current.rss</t>
  </si>
  <si>
    <t>2026-01-23</t>
  </si>
  <si>
    <t>https://ovidsp.ovid.com/rss/journals/00006676/pap.rss</t>
  </si>
  <si>
    <t>Journal of Clinical Psychopharmacology</t>
  </si>
  <si>
    <t>https://ovidsp.ovid.com/rss/journals/00006939/current.rss</t>
  </si>
  <si>
    <t>Dermatologic Surgery</t>
  </si>
  <si>
    <t>http://journals.lww.com/infectdis</t>
  </si>
  <si>
    <t>1555-905X</t>
  </si>
  <si>
    <t>Circulation: Cardiovascular Quality and Outcomes</t>
  </si>
  <si>
    <t>1938-1395</t>
  </si>
  <si>
    <t>https://journals.lww.com/aacr</t>
  </si>
  <si>
    <t>https://ovidsp.ovid.com/rss/journals/02211144/current.rss</t>
  </si>
  <si>
    <t>https://ovidsp.ovid.com/rss/journals/00001199/current.rss</t>
  </si>
  <si>
    <t>The Hearing Journal</t>
  </si>
  <si>
    <t>http://journals.lww.com/intjrehabilres</t>
  </si>
  <si>
    <t>01244666</t>
  </si>
  <si>
    <t>0304-3959</t>
  </si>
  <si>
    <t>01075922</t>
  </si>
  <si>
    <t>2012-01-01 - 2026-01-01</t>
  </si>
  <si>
    <t>Jumpstart</t>
  </si>
  <si>
    <t>Menopause</t>
  </si>
  <si>
    <t>2169-7574</t>
  </si>
  <si>
    <t>https://journals.lww.com/amjclinicaloncology</t>
  </si>
  <si>
    <t>http://journals.lww.com/co-cardiology</t>
  </si>
  <si>
    <t>Evidence-Based Eye Care</t>
  </si>
  <si>
    <t>http://journals.lww.com/jspinaldisorders</t>
  </si>
  <si>
    <t>2015-03-01 - 2026-02-01</t>
  </si>
  <si>
    <t>https://ovidsp.ovid.com/rss/journals/00008486/pap.rss</t>
  </si>
  <si>
    <t>https://ovidsp.ovid.com/rss/journals/01330296/current.rss</t>
  </si>
  <si>
    <t>1531-7129</t>
  </si>
  <si>
    <t>2998-7601</t>
  </si>
  <si>
    <t>2332-4260</t>
  </si>
  <si>
    <t>https://ovidsp.ovid.com/rss/journals/01933606/current.rss</t>
  </si>
  <si>
    <t>https://ovidsp.ovid.com/rss/journals/00129039/current.rss</t>
  </si>
  <si>
    <t>Health Professions;Medical Humanities;Clinical Medicine</t>
  </si>
  <si>
    <t>https://ovidsp.ovid.com/rss/journals/01337495/pap.rss</t>
  </si>
  <si>
    <t>https://ovidsp.ovid.com/rss/journals/00003446/pap.rss</t>
  </si>
  <si>
    <t>00140068</t>
  </si>
  <si>
    <t>2374-4537</t>
  </si>
  <si>
    <t>01300408</t>
  </si>
  <si>
    <t>2020-08-01 - 2026-03-01</t>
  </si>
  <si>
    <t>1879-5234</t>
  </si>
  <si>
    <t>http://journals.lww.com/surveyanesthesiology</t>
  </si>
  <si>
    <t>CIN: Computers, Informatics, Nursing</t>
  </si>
  <si>
    <t>Life &amp; Biomedical Sciences</t>
  </si>
  <si>
    <t>Nursing;Life &amp; Biomedical Sciences;Pharmacology</t>
  </si>
  <si>
    <t>https://ovidsp.ovid.com/rss/journals/00002820/pap.rss</t>
  </si>
  <si>
    <t>Clinical Medicine;Patient Education;Life &amp; Biomedical Sciences;Science</t>
  </si>
  <si>
    <t>https://ovidsp.ovid.com/rss/journals/00130989/current.rss</t>
  </si>
  <si>
    <t>Nursing;Patient Education</t>
  </si>
  <si>
    <t>http://journals.lww.com/nursingmanagement</t>
  </si>
  <si>
    <t>http://journals.lww.com/jnsa</t>
  </si>
  <si>
    <t>1938-3533</t>
  </si>
  <si>
    <t>https://ovidsp.ovid.com/rss/journals/00132587/pap.rss</t>
  </si>
  <si>
    <t>The Neurologist</t>
  </si>
  <si>
    <t>https://ovidsp.ovid.com/rss/journals/00001813/pap.rss</t>
  </si>
  <si>
    <t>https://ovidsp.ovid.com/rss/journals/00001574/current.rss</t>
  </si>
  <si>
    <t>Pancreas</t>
  </si>
  <si>
    <t>https://ovidsp.ovid.com/rss/journals/01943953/pap.rss</t>
  </si>
  <si>
    <t>http://journals.lww.com/cssnewsletter</t>
  </si>
  <si>
    <t>https://ovidsp.ovid.com/rss/journals/00004268/current.rss</t>
  </si>
  <si>
    <t>2013-04-01 - 2026-01-01</t>
  </si>
  <si>
    <t>1524-1602</t>
  </si>
  <si>
    <t>00024382</t>
  </si>
  <si>
    <t>2022-01-01</t>
  </si>
  <si>
    <t>1550-5073</t>
  </si>
  <si>
    <t>https://ovidsp.ovid.com/rss/journals/00041327/current.rss</t>
  </si>
  <si>
    <t>2018-07-01</t>
  </si>
  <si>
    <t>Clinical Liver Disease</t>
  </si>
  <si>
    <t>01933606</t>
  </si>
  <si>
    <t>https://ovidsp.ovid.com/rss/journals/00008469/pap.rss</t>
  </si>
  <si>
    <t>http://journals.lww.com/jlgtd</t>
  </si>
  <si>
    <t>https://ovidsp.ovid.com/rss/journals/00124278/pap.rss</t>
  </si>
  <si>
    <t>https://ovidsp.ovid.com/rss/journals/00043426/current.rss</t>
  </si>
  <si>
    <t>Circulation: Cardiovascular Imaging</t>
  </si>
  <si>
    <t>2007-09-01 - 2023-12-01</t>
  </si>
  <si>
    <t>2012-12-01</t>
  </si>
  <si>
    <t>2021-11-01</t>
  </si>
  <si>
    <t>1536-9617</t>
  </si>
  <si>
    <t>2169-981X</t>
  </si>
  <si>
    <t>https://ovidsp.ovid.com/rss/journals/00004347/pap.rss</t>
  </si>
  <si>
    <t>01720097</t>
  </si>
  <si>
    <t>https://ovidsp.ovid.com/rss/journals/00005053/pap.rss</t>
  </si>
  <si>
    <t>1537-1611</t>
  </si>
  <si>
    <t>https://ovidsp.ovid.com/rss/journals/00006479/current.rss</t>
  </si>
  <si>
    <t>01300516</t>
  </si>
  <si>
    <t>2015-01-15 - 2026-01-01</t>
  </si>
  <si>
    <t>1 and 2 - Special Issue</t>
  </si>
  <si>
    <t>https://ovidsp.ovid.com/rss/journals/00005082/pap.rss</t>
  </si>
  <si>
    <t>2001-01-01 - 2010-11-01</t>
  </si>
  <si>
    <t>https://ovidsp.ovid.com/rss/journals/01209203/pap.rss</t>
  </si>
  <si>
    <t>https://ovidsp.ovid.com/rss/journals/02275665/current.rss</t>
  </si>
  <si>
    <t>0744-6020</t>
  </si>
  <si>
    <t>https://ovidsp.ovid.com/rss/journals/00002371/pap.rss</t>
  </si>
  <si>
    <t>https://ovidsp.ovid.com/rss/journals/01261775/pap.rss</t>
  </si>
  <si>
    <t>2012-02-01 - 2024-01-01</t>
  </si>
  <si>
    <t>http://journals.lww.com/co-oncology</t>
  </si>
  <si>
    <t>00004650</t>
  </si>
  <si>
    <t>Harvard Review of Psychiatry</t>
  </si>
  <si>
    <t>1536-0253</t>
  </si>
  <si>
    <t>00003017</t>
  </si>
  <si>
    <t>02050077</t>
  </si>
  <si>
    <t>Medical Care</t>
  </si>
  <si>
    <t>1540-336X</t>
  </si>
  <si>
    <t>https://ovidsp.ovid.com/rss/journals/01599573/pap.rss</t>
  </si>
  <si>
    <t>Clinical Neuropharmacology</t>
  </si>
  <si>
    <t>01515467</t>
  </si>
  <si>
    <t>Journal of Continuing Education in the Health Professions</t>
  </si>
  <si>
    <t>1537-4521</t>
  </si>
  <si>
    <t>Current Opinion in Infectious Diseases</t>
  </si>
  <si>
    <t>2303-9027</t>
  </si>
  <si>
    <t>Public Health;Health Professions</t>
  </si>
  <si>
    <t>https://ovidsp.ovid.com/rss/journals/00029679/current.rss</t>
  </si>
  <si>
    <t>http://journals.lww.com/forensicnursing</t>
  </si>
  <si>
    <t>1539-2570</t>
  </si>
  <si>
    <t>1530-0374</t>
  </si>
  <si>
    <t>https://ovidsp.ovid.com/rss/journals/02224449/current.rss</t>
  </si>
  <si>
    <t>00001756</t>
  </si>
  <si>
    <t>Journal Title</t>
  </si>
  <si>
    <t>https://ovidsp.ovid.com/rss/journals/00063198/current.rss</t>
  </si>
  <si>
    <t>00002030</t>
  </si>
  <si>
    <t>Current Urology</t>
  </si>
  <si>
    <t>https://ovidsp.ovid.com/rss/journals/00042728/pap.rss</t>
  </si>
  <si>
    <t>00003081</t>
  </si>
  <si>
    <t>Journal for Healthcare Quality</t>
  </si>
  <si>
    <t>2025-12-01</t>
  </si>
  <si>
    <t>Life Sciences</t>
  </si>
  <si>
    <t>Medical Humanities;Clinical Medicine</t>
  </si>
  <si>
    <t>1572-0241</t>
  </si>
  <si>
    <t>Behavioral &amp; Social Sciences;Clinical Medicine</t>
  </si>
  <si>
    <t>00130404</t>
  </si>
  <si>
    <t>2004-02-01 - 2025-12-01</t>
  </si>
  <si>
    <t>2021-12-01 - 2026-03-01</t>
  </si>
  <si>
    <t>01745195</t>
  </si>
  <si>
    <t>01376517</t>
  </si>
  <si>
    <t>Year Coverage</t>
  </si>
  <si>
    <t>2016-10-01 - 2026-01-01</t>
  </si>
  <si>
    <t>https://ovidsp.ovid.com/rss/journals/02274341/current.rss</t>
  </si>
  <si>
    <t>Current Opinion in Epidemiology and Public Health</t>
  </si>
  <si>
    <t>1076-0512</t>
  </si>
  <si>
    <t>http://journals.lww.com/jacpt</t>
  </si>
  <si>
    <t>https://journals.lww.com/stdjournal/</t>
  </si>
  <si>
    <t>2015-01-02</t>
  </si>
  <si>
    <t>02091979</t>
  </si>
  <si>
    <t>https://ovidsp.ovid.com/rss/journals/01244665/current.rss</t>
  </si>
  <si>
    <t>http://journals.lww.com/glaucomajournal</t>
  </si>
  <si>
    <t>https://journals.lww.com/practicalpsychiatry</t>
  </si>
  <si>
    <t>JCO Oncology Advances</t>
  </si>
  <si>
    <t>Reproductive and Developmental Medicine</t>
  </si>
  <si>
    <t>http://journals.lww.com/mcnjournal</t>
  </si>
  <si>
    <t>00001703</t>
  </si>
  <si>
    <t>http://journals.lww.com/jaaosglobal</t>
  </si>
  <si>
    <t>0003-2999</t>
  </si>
  <si>
    <t>2589-8728</t>
  </si>
  <si>
    <t>00128360</t>
  </si>
  <si>
    <t>2016-02-01 - 2026-02-01</t>
  </si>
  <si>
    <t>2025-10-01</t>
  </si>
  <si>
    <t>https://ovidsp.ovid.com/rss/journals/00019501/current.rss</t>
  </si>
  <si>
    <t>Itch</t>
  </si>
  <si>
    <t>Coronary Artery Disease</t>
  </si>
  <si>
    <t>00041433</t>
  </si>
  <si>
    <t>1539-0683</t>
  </si>
  <si>
    <t>2021-09-01 - 2026-03-01</t>
  </si>
  <si>
    <t>1473-6322</t>
  </si>
  <si>
    <t>http://journals.lww.com/nursingcriticalcare</t>
  </si>
  <si>
    <t>http://journals.lww.com/pedpt</t>
  </si>
  <si>
    <t>http://journals.lww.com/acsm-tj</t>
  </si>
  <si>
    <t>1065-6251</t>
  </si>
  <si>
    <t>00139703</t>
  </si>
  <si>
    <t>https://ovidsp.ovid.com/rss/journals/02211172/current.rss</t>
  </si>
  <si>
    <t>https://ovidsp.ovid.com/rss/journals/00124509/current.rss</t>
  </si>
  <si>
    <t>2004-02-01</t>
  </si>
  <si>
    <t>Blood Coagulation &amp; Fibrinolysis</t>
  </si>
  <si>
    <t>2023-11-01</t>
  </si>
  <si>
    <t>2575-3126</t>
  </si>
  <si>
    <t>2374-4529</t>
  </si>
  <si>
    <t>1526-0976</t>
  </si>
  <si>
    <t>https://ovidsp.ovid.com/rss/journals/00130478/pap.rss</t>
  </si>
  <si>
    <t>International Journal of Surgery</t>
  </si>
  <si>
    <t>00128488</t>
  </si>
  <si>
    <t>0363-8855</t>
  </si>
  <si>
    <t>https://ovidsp.ovid.com/rss/journals/02174543/current.rss</t>
  </si>
  <si>
    <t>2018-01-01 - 2025-01-01</t>
  </si>
  <si>
    <t>Exercise and Sport Sciences Reviews</t>
  </si>
  <si>
    <t>Journal of Pediatric Orthopaedics B</t>
  </si>
  <si>
    <t>1076-1608</t>
  </si>
  <si>
    <t>00130989</t>
  </si>
  <si>
    <t>00152192</t>
  </si>
  <si>
    <t>01271216</t>
  </si>
  <si>
    <t>2471-2531</t>
  </si>
  <si>
    <t>https://ovidsp.ovid.com/rss/journals/00075200/pap.rss</t>
  </si>
  <si>
    <t>https://ovidsp.ovid.com/rss/journals/00006123/current.rss</t>
  </si>
  <si>
    <t>https://ovidsp.ovid.com/rss/journals/00006216/pap.rss</t>
  </si>
  <si>
    <t>https://ovidsp.ovid.com/rss/journals/00019616/current.rss</t>
  </si>
  <si>
    <t>1550-509X</t>
  </si>
  <si>
    <t>2019-07-01 - 2025-10-01</t>
  </si>
  <si>
    <t>1995-01-01 - 2026-02-24</t>
  </si>
  <si>
    <t>https://ovidsp.ovid.com/rss/journals/00130911/pap.rss</t>
  </si>
  <si>
    <t>https://journals.lww.com/psnjournalonline</t>
  </si>
  <si>
    <t>Current Opinion in Organ Transplantation</t>
  </si>
  <si>
    <t>1046-6673</t>
  </si>
  <si>
    <t>1553-0582</t>
  </si>
  <si>
    <t>01337225</t>
  </si>
  <si>
    <t>OR Nurse</t>
  </si>
  <si>
    <t>00013611</t>
  </si>
  <si>
    <t>00126869</t>
  </si>
  <si>
    <t>https://ovidsp.ovid.com/rss/journals/01367895/pap.rss</t>
  </si>
  <si>
    <t>1533-404X</t>
  </si>
  <si>
    <t>00061198</t>
  </si>
  <si>
    <t>00006396</t>
  </si>
  <si>
    <t>01337495</t>
  </si>
  <si>
    <t>https://ovidsp.ovid.com/rss/journals/01263393/current.rss</t>
  </si>
  <si>
    <t>https://ovidsp.ovid.com/rss/journals/00002281/pap.rss</t>
  </si>
  <si>
    <t>1746-1553</t>
  </si>
  <si>
    <t>2001-06-01</t>
  </si>
  <si>
    <t>http://journals.lww.com/acsm-msse</t>
  </si>
  <si>
    <t>https://ovidsp.ovid.com/rss/journals/00130404/current.rss</t>
  </si>
  <si>
    <t>2381-652X</t>
  </si>
  <si>
    <t>http://journals.lww.com/nurseeducatoronline</t>
  </si>
  <si>
    <t>Blood Science</t>
  </si>
  <si>
    <t>00023727</t>
  </si>
  <si>
    <t>http://journals.lww.com/onsonline</t>
  </si>
  <si>
    <t>https://journals.lww.com/gscm/</t>
  </si>
  <si>
    <t>https://ovidsp.ovid.com/rss/journals/00041552/pap.rss</t>
  </si>
  <si>
    <t>0275-004X</t>
  </si>
  <si>
    <t>1555-9211</t>
  </si>
  <si>
    <t>https://ovidsp.ovid.com/rss/journals/00000539/pap.rss</t>
  </si>
  <si>
    <t>https://ovidsp.ovid.com/rss/journals/00001610/current.rss</t>
  </si>
  <si>
    <t>https://ovidsp.ovid.com/rss/journals/01720610/pap.rss</t>
  </si>
  <si>
    <t>Latest Issue</t>
  </si>
  <si>
    <t>https://journals.lww.com/ejaintensivecare</t>
  </si>
  <si>
    <t>02275074</t>
  </si>
  <si>
    <t>00006527</t>
  </si>
  <si>
    <t>0959-4965</t>
  </si>
  <si>
    <t>https://journals.lww.com/ijsprotocols/</t>
  </si>
  <si>
    <t>http://journals.lww.com/familyandcommunityhealth</t>
  </si>
  <si>
    <t>https://ovidsp.ovid.com/rss/journals/01437870/current.rss</t>
  </si>
  <si>
    <t>https://ovidsp.ovid.com/rss/journals/00006199/current.rss</t>
  </si>
  <si>
    <t>2015-02-01 - 2026-03-01</t>
  </si>
  <si>
    <t>Neurology® Neuroimmunology &amp; Neuroinflammation</t>
  </si>
  <si>
    <t>https://ovidsp.ovid.com/rss/journals/01212979/current.rss</t>
  </si>
  <si>
    <t>Clinical Medicine;Public Health</t>
  </si>
  <si>
    <t>https://ovidsp.ovid.com/rss/journals/02104054/pap.rss</t>
  </si>
  <si>
    <t>1528-1132</t>
  </si>
  <si>
    <t>http://journals.lww.com/jnr-twna</t>
  </si>
  <si>
    <t>2015-07-01 - 2025-12-01</t>
  </si>
  <si>
    <t>Journal of Infusion Nursing</t>
  </si>
  <si>
    <t>https://ovidsp.ovid.com/rss/journals/00004268/pap.rss</t>
  </si>
  <si>
    <t>http://journals.lww.com/bloodcoagulation</t>
  </si>
  <si>
    <t>https://ovidsp.ovid.com/rss/journals/01263393/pap.rss</t>
  </si>
  <si>
    <t>1661-7657</t>
  </si>
  <si>
    <t>2002-03-01 - 2020-12-01</t>
  </si>
  <si>
    <t>https://ovidsp.ovid.com/rss/journals/00013614/current.rss</t>
  </si>
  <si>
    <t>Stroke</t>
  </si>
  <si>
    <t>Ear &amp; Hearing</t>
  </si>
  <si>
    <t>https://ovidsp.ovid.com/rss/journals/01938899/current.rss</t>
  </si>
  <si>
    <t>00126097</t>
  </si>
  <si>
    <t>Oncology Times UK</t>
  </si>
  <si>
    <t>1536-5026</t>
  </si>
  <si>
    <t>2009-04-01</t>
  </si>
  <si>
    <t>0898-5669</t>
  </si>
  <si>
    <t>https://www.ahajournals.org/journal/circinterventions</t>
  </si>
  <si>
    <t>00132979</t>
  </si>
  <si>
    <t>http://journals.lww.com/clinicalneurophys</t>
  </si>
  <si>
    <t>Journal of Physical Therapy Education</t>
  </si>
  <si>
    <t>01274882</t>
  </si>
  <si>
    <t>https://ovidsp.ovid.com/rss/journals/00055735/pap.rss</t>
  </si>
  <si>
    <t>Hepatology Communications</t>
  </si>
  <si>
    <t>Clinical Medicine;Life &amp; Biomedical Sciences;Health Professions</t>
  </si>
  <si>
    <t>Health Care Food &amp; Nutrition Focus</t>
  </si>
  <si>
    <t>01222929</t>
  </si>
  <si>
    <t>1536-3694</t>
  </si>
  <si>
    <t>https://journals.lww.com/pn</t>
  </si>
  <si>
    <t>2026-01-01</t>
  </si>
  <si>
    <t>The Journal of ECT</t>
  </si>
  <si>
    <t>Circulation</t>
  </si>
  <si>
    <t>1538-8654</t>
  </si>
  <si>
    <t>1536-5409</t>
  </si>
  <si>
    <t>2770-3150</t>
  </si>
  <si>
    <t>00005053</t>
  </si>
  <si>
    <t>02273304</t>
  </si>
  <si>
    <t>Pharmacology;Nursing;Clinical Medicine;Behavioral &amp; Social Sciences</t>
  </si>
  <si>
    <t>https://ovidsp.ovid.com/rss/journals/00012272/pap.rss</t>
  </si>
  <si>
    <t>Behavioral &amp; Social Sciences;Clinical Medicine;Nursing;Pharmacology</t>
  </si>
  <si>
    <t>Patient Education;Nursing;Clinical Medicine;Health Professions</t>
  </si>
  <si>
    <t>01874474</t>
  </si>
  <si>
    <t>http://journals.lww.com/jbipacesetters</t>
  </si>
  <si>
    <t>00005792</t>
  </si>
  <si>
    <t>Clinical Medicine;Pharmacology;Nursing;Life &amp; Biomedical Sciences</t>
  </si>
  <si>
    <t>https://ovidsp.ovid.com/rss/journals/02200512/pap.rss</t>
  </si>
  <si>
    <t>1538-1935</t>
  </si>
  <si>
    <t>https://ovidsp.ovid.com/rss/journals/00139143/pap.rss</t>
  </si>
  <si>
    <t>C</t>
  </si>
  <si>
    <t>https://ovidsp.ovid.com/rss/journals/00005382/current.rss</t>
  </si>
  <si>
    <t>2022-02-01</t>
  </si>
  <si>
    <t>http://journals.lww.com/journaladdictionmedicine</t>
  </si>
  <si>
    <t>2017-10-01</t>
  </si>
  <si>
    <t>Nuclear Medicine Communications</t>
  </si>
  <si>
    <t>Clinical Medicine;Nursing</t>
  </si>
  <si>
    <t>1994-01-01 - 2026-01-01</t>
  </si>
  <si>
    <t>Journal of Neuroscience Nursing</t>
  </si>
  <si>
    <t>Internal Medicine</t>
  </si>
  <si>
    <t>2001-06-01 - 2025-12-01</t>
  </si>
  <si>
    <t>https://ovidsp.ovid.com/rss/journals/00076734/pap.rss</t>
  </si>
  <si>
    <t>https://www.neurology.org/journal/nxg</t>
  </si>
  <si>
    <t>2015-01-01 - 2025-11-01</t>
  </si>
  <si>
    <t>Otology &amp; Neurotology Open</t>
  </si>
  <si>
    <t>https://ovidsp.ovid.com/rss/journals/01212983/current.rss</t>
  </si>
  <si>
    <t>https://ovidsp.ovid.com/rss/journals/00075197/current.rss</t>
  </si>
  <si>
    <t>2012-03-01 - 2017-12-01</t>
  </si>
  <si>
    <t>http://journals.lww.com/lww-medicalcare</t>
  </si>
  <si>
    <t>https://ovidsp.ovid.com/rss/journals/00126097/pap.rss</t>
  </si>
  <si>
    <t>00007691</t>
  </si>
  <si>
    <t>https://ovidsp.ovid.com/rss/journals/00124278/current.rss</t>
  </si>
  <si>
    <t>https://ovidsp.ovid.com/rss/journals/00140068/pap.rss</t>
  </si>
  <si>
    <t>https://ovidsp.ovid.com/rss/journals/00006223/current.rss</t>
  </si>
  <si>
    <t>00132981</t>
  </si>
  <si>
    <t>00005650</t>
  </si>
  <si>
    <t>https://ovidsp.ovid.com/rss/journals/01222929/pap.rss</t>
  </si>
  <si>
    <t>Clinical Medicine;Health Professions;Nursing</t>
  </si>
  <si>
    <t>http://journals.lww.com/co-clinicalnutrition</t>
  </si>
  <si>
    <t>0038-4348</t>
  </si>
  <si>
    <t>1465-7309</t>
  </si>
  <si>
    <t>http://journals.lww.com/contempneurosurg</t>
  </si>
  <si>
    <t>https://ovidsp.ovid.com/rss/journals/02009842/current.rss</t>
  </si>
  <si>
    <t>1473-5695</t>
  </si>
  <si>
    <t>1873-233X</t>
  </si>
  <si>
    <t>1532-0987</t>
  </si>
  <si>
    <t>01787389</t>
  </si>
  <si>
    <t>00132586</t>
  </si>
  <si>
    <t>Evidence-Based Practice</t>
  </si>
  <si>
    <t>1536-7355</t>
  </si>
  <si>
    <t>Current Opinion in Urology</t>
  </si>
  <si>
    <t>https://www.neurology.org/journal/cpj</t>
  </si>
  <si>
    <t>https://ovidsp.ovid.com/rss/journals/00008480/pap.rss</t>
  </si>
  <si>
    <t>2767-7206</t>
  </si>
  <si>
    <t>Guidelines and Standards of Chinese Medicine</t>
  </si>
  <si>
    <t>The Journal of the International Society of Physical and Rehabilitation Medicine</t>
  </si>
  <si>
    <t>http://journals.lww.com/acsm-csmr</t>
  </si>
  <si>
    <t>2009-01-01</t>
  </si>
  <si>
    <t>Pharmacogenetics and Genomics</t>
  </si>
  <si>
    <t>Obstetrical &amp; Gynecological Survey</t>
  </si>
  <si>
    <t>00129689</t>
  </si>
  <si>
    <t>01845228</t>
  </si>
  <si>
    <t>00004168</t>
  </si>
  <si>
    <t>0732-0167</t>
  </si>
  <si>
    <t>1473-5636</t>
  </si>
  <si>
    <t>http://journals.lww.com/jdnaonline</t>
  </si>
  <si>
    <t>3007-066X</t>
  </si>
  <si>
    <t>00003072</t>
  </si>
  <si>
    <t>2022-12-01 - 2025-12-01</t>
  </si>
  <si>
    <t>2472-0054</t>
  </si>
  <si>
    <t>https://journals.lww.com/jbisrir</t>
  </si>
  <si>
    <t>http://journals.lww.com/rehabnursingjournal</t>
  </si>
  <si>
    <t>Journal of the Chinese Medical Association</t>
  </si>
  <si>
    <t>2693-8839</t>
  </si>
  <si>
    <t>https://journals.lww.com/ijwd</t>
  </si>
  <si>
    <t>1541-8243</t>
  </si>
  <si>
    <t>https://ovidsp.ovid.com/rss/journals/00132586/current.rss</t>
  </si>
  <si>
    <t>http://journals.lww.com/ccnq</t>
  </si>
  <si>
    <t>Neurosurgery Open</t>
  </si>
  <si>
    <t>https://journals.lww.com/ajg</t>
  </si>
  <si>
    <t>International Anesthesiology Clinics</t>
  </si>
  <si>
    <t>https://ovidsp.ovid.com/rss/journals/00007670/current.rss</t>
  </si>
  <si>
    <t>00006223</t>
  </si>
  <si>
    <t>http://journals.lww.com/co-urology</t>
  </si>
  <si>
    <t>1533-4295</t>
  </si>
  <si>
    <t>2470-7511</t>
  </si>
  <si>
    <t>Anesthesiology Open</t>
  </si>
  <si>
    <t>http://journals.lww.com/jbjscc</t>
  </si>
  <si>
    <t>2015-01-01 - 2022-10-01</t>
  </si>
  <si>
    <t>2013-10-01</t>
  </si>
  <si>
    <t>2019-08-01 - 2026-03-01</t>
  </si>
  <si>
    <t>1938-8640</t>
  </si>
  <si>
    <t>https://ovidsp.ovid.com/rss/journals/00041433/pap.rss</t>
  </si>
  <si>
    <t>Circulation: Arrhythmia and Electrophysiology</t>
  </si>
  <si>
    <t>http://journals.lww.com/dermatologicsurgery</t>
  </si>
  <si>
    <t>1071-5754</t>
  </si>
  <si>
    <t>https://ovidsp.ovid.com/rss/journals/01586158/current.rss</t>
  </si>
  <si>
    <t>https://ovidsp.ovid.com/rss/journals/00004703/pap.rss</t>
  </si>
  <si>
    <t>1550-1841</t>
  </si>
  <si>
    <t>https://ovidsp.ovid.com/rss/journals/00001813/current.rss</t>
  </si>
  <si>
    <t>https://ovidsp.ovid.com/rss/journals/00002060/current.rss</t>
  </si>
  <si>
    <t>Health Professions;Clinical Medicine;Nursing</t>
  </si>
  <si>
    <t>Contemporary Critical Care</t>
  </si>
  <si>
    <t>https://ovidsp.ovid.com/rss/journals/00002341/pap.rss</t>
  </si>
  <si>
    <t>http://journals.lww.com/jhpn</t>
  </si>
  <si>
    <t>https://ovidsp.ovid.com/rss/journals/00129689/pap.rss</t>
  </si>
  <si>
    <t>http://journals.lww.com/psychopharmrev</t>
  </si>
  <si>
    <t>00003012</t>
  </si>
  <si>
    <t>2226-8561</t>
  </si>
  <si>
    <t>https://ovidsp.ovid.com/rss/journals/02024458/current.rss</t>
  </si>
  <si>
    <t>https://ovidsp.ovid.com/rss/journals/01337496/pap.rss</t>
  </si>
  <si>
    <t>https://ovidsp.ovid.com/rss/journals/00149078/current.rss</t>
  </si>
  <si>
    <t>00010694</t>
  </si>
  <si>
    <t>1539-2465</t>
  </si>
  <si>
    <t>https://ovidsp.ovid.com/rss/journals/00006199/pap.rss</t>
  </si>
  <si>
    <t>Search All Journals@Ovid</t>
  </si>
  <si>
    <t>https://ovidsp.ovid.com/rss/journals/02104054/current.rss</t>
  </si>
  <si>
    <t>Holistic Nursing Practice</t>
  </si>
  <si>
    <t>JBI Database of Systematic Reviews and Implementation Reports</t>
  </si>
  <si>
    <t>2001-01-01 - 2025-12-01</t>
  </si>
  <si>
    <t>2473-3709</t>
  </si>
  <si>
    <t>01277230</t>
  </si>
  <si>
    <t>The Journal of Physician Assistant Education</t>
  </si>
  <si>
    <t>1536-481X</t>
  </si>
  <si>
    <t>https://ovidsp.ovid.com/rss/journals/02186170/current.rss</t>
  </si>
  <si>
    <t>02275165</t>
  </si>
  <si>
    <t>http://journals.lww.com/thehearingjournal</t>
  </si>
  <si>
    <t>https://ovidsp.ovid.com/rss/journals/01745195/current.rss</t>
  </si>
  <si>
    <t>2160-2204</t>
  </si>
  <si>
    <t>http://journals.lww.com/jbjsjopa</t>
  </si>
  <si>
    <t>2015-01-16 - 2026-02-01</t>
  </si>
  <si>
    <t>2394-2916</t>
  </si>
  <si>
    <t>Asian Heart Journal</t>
  </si>
  <si>
    <t>2005-01-01 - 2007-07-01</t>
  </si>
  <si>
    <t>Public Health;Medical Humanities</t>
  </si>
  <si>
    <t>https://ovidsp.ovid.com/rss/journals/00003727/current.rss</t>
  </si>
  <si>
    <t>https://ovidsp.ovid.com/rss/journals/01436319/current.rss</t>
  </si>
  <si>
    <t>00001786</t>
  </si>
  <si>
    <t>1550-5146</t>
  </si>
  <si>
    <t>0275-665X</t>
  </si>
  <si>
    <t>00003643</t>
  </si>
  <si>
    <t>1473-5865</t>
  </si>
  <si>
    <t>Journal for Nurses in Professional Development</t>
  </si>
  <si>
    <t>https://ovidsp.ovid.com/rss/journals/00124635/current.rss</t>
  </si>
  <si>
    <t>https://ovidsp.ovid.com/rss/journals/00076734/current.rss</t>
  </si>
  <si>
    <t>Current Opinion in Critical Care</t>
  </si>
  <si>
    <t>https://journals.lww.com/dm/</t>
  </si>
  <si>
    <t>https://ovidsp.ovid.com/rss/journals/00005237/pap.rss</t>
  </si>
  <si>
    <t>https://ovidsp.ovid.com/rss/journals/01445442/current.rss</t>
  </si>
  <si>
    <t>1538-8662</t>
  </si>
  <si>
    <t>https://ovidsp.ovid.com/rss/journals/00001665/current.rss</t>
  </si>
  <si>
    <t>1536-5956</t>
  </si>
  <si>
    <t>ISBN-13</t>
  </si>
  <si>
    <t>00125480</t>
  </si>
  <si>
    <t>2011-04-01</t>
  </si>
  <si>
    <t>https://ovidsp.ovid.com/rss/journals/02272794/pap.rss</t>
  </si>
  <si>
    <t>https://ovidsp.ovid.com/rss/journals/00007691/current.rss</t>
  </si>
  <si>
    <t>https://ovidsp.ovid.com/rss/journals/00055735/current.rss</t>
  </si>
  <si>
    <t>2771-554X</t>
  </si>
  <si>
    <t>Neurology Genetics</t>
  </si>
  <si>
    <t>1940-5480</t>
  </si>
  <si>
    <t>1985-09-01 - 1993-01-01</t>
  </si>
  <si>
    <t>1473-558X</t>
  </si>
  <si>
    <t>https://ovidsp.ovid.com/rss/journals/00019514/pap.rss</t>
  </si>
  <si>
    <t>https://ovidsp.ovid.com/rss/journals/02174540/current.rss</t>
  </si>
  <si>
    <t>01861735</t>
  </si>
  <si>
    <t>0363-9762</t>
  </si>
  <si>
    <t>0889-4655</t>
  </si>
  <si>
    <t>0032-1052</t>
  </si>
  <si>
    <t>2012-01-01 - 2023-11-01</t>
  </si>
  <si>
    <t>Current Sports Medicine Reports</t>
  </si>
  <si>
    <t>0017-9078</t>
  </si>
  <si>
    <t>0148-9917</t>
  </si>
  <si>
    <t>http://journals.lww.com/jcardiovascularmedicine</t>
  </si>
  <si>
    <t>02275121</t>
  </si>
  <si>
    <t>https://ovidsp.ovid.com/rss/journals/01337496/current.rss</t>
  </si>
  <si>
    <t>01412499</t>
  </si>
  <si>
    <t>https://journals.lww.com/revmedmicrobiol</t>
  </si>
  <si>
    <t>2001-01-01 - 2020-11-01</t>
  </si>
  <si>
    <t>2011-06-01 - 2026-01-01</t>
  </si>
  <si>
    <t>https://journals.lww.com/johnajournal</t>
  </si>
  <si>
    <t>1744-1609</t>
  </si>
  <si>
    <t>1040-8711</t>
  </si>
  <si>
    <t>0891-3668</t>
  </si>
  <si>
    <t>1944-6586</t>
  </si>
  <si>
    <t>01979360</t>
  </si>
  <si>
    <t>2015-01-15 - 2026-02-15</t>
  </si>
  <si>
    <t>Journal of Immunotherapy</t>
  </si>
  <si>
    <t>http://journals.lww.com/topicsingeriatricrehabilitation</t>
  </si>
  <si>
    <t>2691-3593</t>
  </si>
  <si>
    <t>http://journals.lww.com/thoracicimaging</t>
  </si>
  <si>
    <t>2001-01-01 - 2026-01-01</t>
  </si>
  <si>
    <t>https://ovidsp.ovid.com/rss/journals/02123148/current.rss</t>
  </si>
  <si>
    <t>1547-7770</t>
  </si>
  <si>
    <t>2049-0801</t>
  </si>
  <si>
    <t>1548-8756</t>
  </si>
  <si>
    <t>1080-2371</t>
  </si>
  <si>
    <t>ASA Refresher Courses in Anesthesiology</t>
  </si>
  <si>
    <t>01337494</t>
  </si>
  <si>
    <t>https://journals.lww.com/co-epidemiology</t>
  </si>
  <si>
    <t>http://journals.lww.com/journalpatientsafety</t>
  </si>
  <si>
    <t>00024720</t>
  </si>
  <si>
    <t>http://journals.lww.com/intclinpsychopharm</t>
  </si>
  <si>
    <t>https://ovidsp.ovid.com/rss/journals/02050077/current.rss</t>
  </si>
  <si>
    <t>https://journals.lww.com/JASN</t>
  </si>
  <si>
    <t>01709767</t>
  </si>
  <si>
    <t>1536-1004</t>
  </si>
  <si>
    <t>http://journals.lww.com/co-nephrolhypertens</t>
  </si>
  <si>
    <t>2001-02-01</t>
  </si>
  <si>
    <t>ASLD-CS-N22</t>
  </si>
  <si>
    <t>2331-2629</t>
  </si>
  <si>
    <t>https://journals.lww.com/jova</t>
  </si>
  <si>
    <t>01337498</t>
  </si>
  <si>
    <t>2009-01-01 - 2026-01-01</t>
  </si>
  <si>
    <t>https://journals.lww.com/anesthesiology</t>
  </si>
  <si>
    <t>1558-447X</t>
  </si>
  <si>
    <t>https://journals.lww.com/jisprm/</t>
  </si>
  <si>
    <t>2687-8941</t>
  </si>
  <si>
    <t>https://ovidsp.ovid.com/rss/journals/00005792/current.rss</t>
  </si>
  <si>
    <t>CJAN-CS-N22</t>
  </si>
  <si>
    <t>Health Professions;Nursing;Clinical Medicine</t>
  </si>
  <si>
    <t>https://ovidsp.ovid.com/rss/journals/00007890/current.rss</t>
  </si>
  <si>
    <t>00132585</t>
  </si>
  <si>
    <t>http://journals.lww.com/c-orthopaedicpractice</t>
  </si>
  <si>
    <t>1941-7551</t>
  </si>
  <si>
    <t>https://ovidsp.ovid.com/rss/journals/00132576/current.rss</t>
  </si>
  <si>
    <t>1056-6163</t>
  </si>
  <si>
    <t>0736-0258</t>
  </si>
  <si>
    <t>2015-04-01 - 2026-01-01</t>
  </si>
  <si>
    <t>https://ovidsp.ovid.com/rss/journals/01269241/current.rss</t>
  </si>
  <si>
    <t>1536-4798</t>
  </si>
  <si>
    <t>https://ovidsp.ovid.com/rss/journals/01709766/current.rss</t>
  </si>
  <si>
    <t>https://ovidsp.ovid.com/rss/journals/01586154/pap.rss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</si>
</sst>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0" borderId="0" xfId="1"/>
  </cellXfs>
  <cellStyles count="2">
    <cellStyle name="Hyperlink" xfId="1" builtinId="8"/>
    <cellStyle name="Normal" xfId="0" builtinId="0"/>
  </cellStyles>
  <dxfs count="7">
    <dxf>
      <font>
        <b/>
        <sz val="11"/>
        <color theme="1"/>
        <name val="Calibri"/>
        <family val="2"/>
        <scheme val="minor"/>
      </font>
    </dxf>
    <dxf>
      <numFmt numFmtId="164" formatCode="m/d/yyyy"/>
    </dxf>
    <dxf>
      <numFmt numFmtId="164" formatCode="m/d/yyyy"/>
    </dxf>
    <dxf>
      <font>
        <b/>
        <sz val="11"/>
        <color theme="1"/>
        <name val="Calibri"/>
        <family val="2"/>
        <scheme val="minor"/>
      </font>
    </dxf>
    <dxf>
      <numFmt numFmtId="164" formatCode="m/d/yyyy"/>
    </dxf>
    <dxf>
      <numFmt numFmtId="164" formatCode="m/d/yyyy"/>
    </dxf>
    <dxf>
      <font>
        <b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AB433" totalsRowShown="0" headerRowDxfId="6" headerRowCellStyle="Normal">
  <autoFilter ref="A1:AB433" xr:uid="{00000000-0009-0000-0100-000002000000}"/>
  <tableColumns count="28">
    <tableColumn id="1" xr3:uid="{00000000-0010-0000-0100-000001000000}" name="Journal Title"/>
    <tableColumn id="2" xr3:uid="{00000000-0010-0000-0100-000002000000}" name="ISSN"/>
    <tableColumn id="3" xr3:uid="{00000000-0010-0000-0100-000003000000}" name="eISSN"/>
    <tableColumn id="4" xr3:uid="{00000000-0010-0000-0100-000004000000}" name="Publisher"/>
    <tableColumn id="5" xr3:uid="{00000000-0010-0000-0100-000005000000}" name="Beginning Date" dataDxfId="5" totalsRowDxfId="4" dataCellStyle="Normal" totalsRowCellStyle="Normal"/>
    <tableColumn id="6" xr3:uid="{00000000-0010-0000-0100-000006000000}" name="Beginning Volume"/>
    <tableColumn id="7" xr3:uid="{00000000-0010-0000-0100-000007000000}" name="Beginning Issue"/>
    <tableColumn id="8" xr3:uid="{00000000-0010-0000-0100-000008000000}" name="Latest Volume"/>
    <tableColumn id="9" xr3:uid="{00000000-0010-0000-0100-000009000000}" name="Latest Issue"/>
    <tableColumn id="10" xr3:uid="{00000000-0010-0000-0100-00000A000000}" name="Year Coverage"/>
    <tableColumn id="11" xr3:uid="{00000000-0010-0000-0100-00000B000000}" name="Beginning Year Coverage"/>
    <tableColumn id="12" xr3:uid="{00000000-0010-0000-0100-00000C000000}" name="Latest Year Coverage"/>
    <tableColumn id="13" xr3:uid="{00000000-0010-0000-0100-00000D000000}" name="Jumpstart" dataCellStyle="Hyperlink" totalsRowCellStyle="Hyperlink"/>
    <tableColumn id="14" xr3:uid="{00000000-0010-0000-0100-00000E000000}" name="ThirdParty Jumpstart"/>
    <tableColumn id="15" xr3:uid="{00000000-0010-0000-0100-00000F000000}" name="Product Name"/>
    <tableColumn id="16" xr3:uid="{00000000-0010-0000-0100-000010000000}" name="Prod Code"/>
    <tableColumn id="17" xr3:uid="{00000000-0010-0000-0100-000011000000}" name="Order"/>
    <tableColumn id="18" xr3:uid="{00000000-0010-0000-0100-000012000000}" name="ShortCode"/>
    <tableColumn id="19" xr3:uid="{00000000-0010-0000-0100-000013000000}" name="AccessType"/>
    <tableColumn id="20" xr3:uid="{00000000-0010-0000-0100-000014000000}" name="OfferedOn"/>
    <tableColumn id="21" xr3:uid="{00000000-0010-0000-0100-000015000000}" name="RSS Feed URL"/>
    <tableColumn id="22" xr3:uid="{00000000-0010-0000-0100-000016000000}" name="PAP"/>
    <tableColumn id="23" xr3:uid="{00000000-0010-0000-0100-000017000000}" name="PAP RSS Feed URL"/>
    <tableColumn id="24" xr3:uid="{00000000-0010-0000-0100-000018000000}" name="IsConsortia"/>
    <tableColumn id="25" xr3:uid="{00000000-0010-0000-0100-000019000000}" name="Consortia CustName"/>
    <tableColumn id="26" xr3:uid="{00000000-0010-0000-0100-00001A000000}" name="Subjects"/>
    <tableColumn id="27" xr3:uid="{00000000-0010-0000-0100-00001B000000}" name="Primary Category"/>
    <tableColumn id="28" xr3:uid="{00000000-0010-0000-0100-00001C000000}" name="Primary Subse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S2" totalsRowShown="0" headerRowDxfId="3" headerRowCellStyle="Normal">
  <autoFilter ref="A1:S2" xr:uid="{00000000-0009-0000-0100-000005000000}"/>
  <tableColumns count="19">
    <tableColumn id="1" xr3:uid="{00000000-0010-0000-0400-000001000000}" name="Book Title"/>
    <tableColumn id="2" xr3:uid="{00000000-0010-0000-0400-000002000000}" name="Beginning Date" dataDxfId="2" totalsRowDxfId="1" dataCellStyle="Normal" totalsRowCellStyle="Normal"/>
    <tableColumn id="3" xr3:uid="{00000000-0010-0000-0400-000003000000}" name="ISBN-13"/>
    <tableColumn id="4" xr3:uid="{00000000-0010-0000-0400-000004000000}" name="ISBN-10"/>
    <tableColumn id="5" xr3:uid="{00000000-0010-0000-0400-000005000000}" name="Publisher"/>
    <tableColumn id="6" xr3:uid="{00000000-0010-0000-0400-000006000000}" name="Edition"/>
    <tableColumn id="7" xr3:uid="{00000000-0010-0000-0400-000007000000}" name="Pub Year"/>
    <tableColumn id="8" xr3:uid="{00000000-0010-0000-0400-000008000000}" name="Jumpstart" dataCellStyle="Hyperlink" totalsRowCellStyle="Hyperlink">
      <calculatedColumnFormula>HYPERLINK("https://ovidsp.ovid.com/ovidweb.cgi?T=JS&amp;NEWS=n&amp;CSC=Y&amp;PAGE=booktext&amp;D=books&amp;SC=02275289&amp;EPUB=Y","https://ovidsp.ovid.com/ovidweb.cgi?T=JS&amp;NEWS=n&amp;CSC=Y&amp;PAGE=booktext&amp;D=books&amp;SC=02275289&amp;EPUB=Y")</calculatedColumnFormula>
    </tableColumn>
    <tableColumn id="9" xr3:uid="{00000000-0010-0000-0400-000009000000}" name="Product Name"/>
    <tableColumn id="10" xr3:uid="{00000000-0010-0000-0400-00000A000000}" name="Prod Code"/>
    <tableColumn id="11" xr3:uid="{00000000-0010-0000-0400-00000B000000}" name="Order"/>
    <tableColumn id="12" xr3:uid="{00000000-0010-0000-0400-00000C000000}" name="OfferedOn"/>
    <tableColumn id="13" xr3:uid="{00000000-0010-0000-0400-00000D000000}" name="ShortCode"/>
    <tableColumn id="14" xr3:uid="{00000000-0010-0000-0400-00000E000000}" name="IsConsortia"/>
    <tableColumn id="15" xr3:uid="{00000000-0010-0000-0400-00000F000000}" name="Consortia CustName"/>
    <tableColumn id="16" xr3:uid="{00000000-0010-0000-0400-000010000000}" name="Subjects"/>
    <tableColumn id="17" xr3:uid="{00000000-0010-0000-0400-000011000000}" name="Authors"/>
    <tableColumn id="18" xr3:uid="{00000000-0010-0000-0400-000012000000}" name="Primary Category"/>
    <tableColumn id="19" xr3:uid="{00000000-0010-0000-0400-000013000000}" name="Primary Subs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1:B8" totalsRowShown="0" headerRowDxfId="0" headerRowCellStyle="Normal">
  <autoFilter ref="A1:B8" xr:uid="{00000000-0009-0000-0100-000008000000}"/>
  <tableColumns count="2">
    <tableColumn id="1" xr3:uid="{00000000-0010-0000-0700-000001000000}" name="Title"/>
    <tableColumn id="2" xr3:uid="{00000000-0010-0000-0700-000002000000}" name="Jumpstart" dataCellStyle="Hyperlink" totalsRow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B433"/>
  <sheetViews>
    <sheetView tabSelected="1" zoomScaleNormal="100" workbookViewId="0">
      <pane ySplit="1" topLeftCell="A329" activePane="bottomLeft" state="frozen"/>
      <selection pane="bottomLeft"/>
    </sheetView>
  </sheetViews>
  <sheetFormatPr defaultColWidth="9.109375" defaultRowHeight="14.4" x14ac:dyDescent="0.3"/>
  <cols>
    <col min="1" max="1" width="67.44140625" bestFit="1" customWidth="1"/>
    <col min="2" max="3" width="9.6640625" bestFit="1" customWidth="1"/>
    <col min="4" max="4" width="45.44140625" bestFit="1" customWidth="1"/>
    <col min="5" max="5" width="16" bestFit="1" customWidth="1"/>
    <col min="6" max="6" width="18.6640625" bestFit="1" customWidth="1"/>
    <col min="7" max="7" width="18.88671875" bestFit="1" customWidth="1"/>
    <col min="8" max="8" width="15.33203125" bestFit="1" customWidth="1"/>
    <col min="9" max="9" width="12.88671875" bestFit="1" customWidth="1"/>
    <col min="10" max="10" width="21.5546875" bestFit="1" customWidth="1"/>
    <col min="11" max="11" width="24.33203125" bestFit="1" customWidth="1"/>
    <col min="12" max="12" width="20.88671875" bestFit="1" customWidth="1"/>
    <col min="13" max="13" width="98.44140625" bestFit="1" customWidth="1"/>
    <col min="14" max="14" width="70.44140625" bestFit="1" customWidth="1"/>
    <col min="15" max="15" width="65" bestFit="1" customWidth="1"/>
    <col min="16" max="16" width="12" bestFit="1" customWidth="1"/>
    <col min="17" max="17" width="8" bestFit="1" customWidth="1"/>
    <col min="18" max="18" width="12.109375" bestFit="1" customWidth="1"/>
    <col min="19" max="19" width="17.6640625" bestFit="1" customWidth="1"/>
    <col min="20" max="20" width="12.109375" bestFit="1" customWidth="1"/>
    <col min="21" max="21" width="50.109375" bestFit="1" customWidth="1"/>
    <col min="22" max="22" width="6.6640625" bestFit="1" customWidth="1"/>
    <col min="23" max="23" width="47.109375" bestFit="1" customWidth="1"/>
    <col min="24" max="24" width="12.5546875" bestFit="1" customWidth="1"/>
    <col min="25" max="25" width="20.5546875" bestFit="1" customWidth="1"/>
    <col min="26" max="26" width="97.109375" bestFit="1" customWidth="1"/>
    <col min="27" max="27" width="27.21875" bestFit="1" customWidth="1"/>
    <col min="28" max="28" width="21.6640625" bestFit="1" customWidth="1"/>
  </cols>
  <sheetData>
    <row r="1" spans="1:28" x14ac:dyDescent="0.3">
      <c r="A1" s="2" t="s">
        <v>2764</v>
      </c>
      <c r="B1" s="2" t="s">
        <v>1846</v>
      </c>
      <c r="C1" s="2" t="s">
        <v>1061</v>
      </c>
      <c r="D1" s="2" t="s">
        <v>2208</v>
      </c>
      <c r="E1" s="2" t="s">
        <v>1297</v>
      </c>
      <c r="F1" s="2" t="s">
        <v>2314</v>
      </c>
      <c r="G1" s="2" t="s">
        <v>636</v>
      </c>
      <c r="H1" s="2" t="s">
        <v>2312</v>
      </c>
      <c r="I1" s="2" t="s">
        <v>2875</v>
      </c>
      <c r="J1" s="2" t="s">
        <v>2781</v>
      </c>
      <c r="K1" s="2" t="s">
        <v>1590</v>
      </c>
      <c r="L1" s="2" t="s">
        <v>1039</v>
      </c>
      <c r="M1" s="2" t="s">
        <v>2665</v>
      </c>
      <c r="N1" s="2" t="s">
        <v>2125</v>
      </c>
      <c r="O1" s="2" t="s">
        <v>670</v>
      </c>
      <c r="P1" s="2" t="s">
        <v>1494</v>
      </c>
      <c r="Q1" s="2" t="s">
        <v>2156</v>
      </c>
      <c r="R1" s="2" t="s">
        <v>61</v>
      </c>
      <c r="S1" s="2" t="s">
        <v>1701</v>
      </c>
      <c r="T1" s="2" t="s">
        <v>1710</v>
      </c>
      <c r="U1" s="2" t="s">
        <v>2422</v>
      </c>
      <c r="V1" s="2" t="s">
        <v>221</v>
      </c>
      <c r="W1" s="2" t="s">
        <v>395</v>
      </c>
      <c r="X1" s="2" t="s">
        <v>536</v>
      </c>
      <c r="Y1" s="2" t="s">
        <v>1550</v>
      </c>
      <c r="Z1" s="2" t="s">
        <v>501</v>
      </c>
      <c r="AA1" s="2" t="s">
        <v>1931</v>
      </c>
      <c r="AB1" s="2" t="s">
        <v>2377</v>
      </c>
    </row>
    <row r="2" spans="1:28" x14ac:dyDescent="0.3">
      <c r="A2" t="s">
        <v>1711</v>
      </c>
      <c r="B2" t="s">
        <v>2022</v>
      </c>
      <c r="C2" t="s">
        <v>1778</v>
      </c>
      <c r="D2" t="s">
        <v>44</v>
      </c>
      <c r="E2" s="1">
        <v>46055</v>
      </c>
      <c r="F2">
        <v>1</v>
      </c>
      <c r="G2">
        <v>1</v>
      </c>
      <c r="H2">
        <v>9</v>
      </c>
      <c r="I2">
        <v>12</v>
      </c>
      <c r="J2" t="s">
        <v>169</v>
      </c>
      <c r="K2" t="s">
        <v>3017</v>
      </c>
      <c r="L2" t="s">
        <v>11</v>
      </c>
      <c r="M2" s="3" t="str">
        <f>HYPERLINK("https://ovidsp.ovid.com/ovidweb.cgi?T=JS&amp;NEWS=n&amp;CSC=Y&amp;PAGE=toc&amp;D=yrovft&amp;AN=01720097-000000000-00000","https://ovidsp.ovid.com/ovidweb.cgi?T=JS&amp;NEWS=n&amp;CSC=Y&amp;PAGE=toc&amp;D=yrovft&amp;AN=01720097-000000000-00000")</f>
        <v>https://ovidsp.ovid.com/ovidweb.cgi?T=JS&amp;NEWS=n&amp;CSC=Y&amp;PAGE=toc&amp;D=yrovft&amp;AN=01720097-000000000-00000</v>
      </c>
      <c r="N2" t="s">
        <v>2656</v>
      </c>
      <c r="O2" t="s">
        <v>2151</v>
      </c>
      <c r="P2" t="s">
        <v>2431</v>
      </c>
      <c r="Q2">
        <v>1428052</v>
      </c>
      <c r="R2" t="s">
        <v>2727</v>
      </c>
      <c r="S2" t="s">
        <v>84</v>
      </c>
      <c r="T2" t="s">
        <v>2152</v>
      </c>
      <c r="U2" t="s">
        <v>2088</v>
      </c>
      <c r="V2" t="b">
        <v>0</v>
      </c>
      <c r="W2" t="s">
        <v>2022</v>
      </c>
      <c r="X2" t="b">
        <v>0</v>
      </c>
      <c r="Y2" t="s">
        <v>2022</v>
      </c>
      <c r="Z2" t="s">
        <v>1351</v>
      </c>
      <c r="AA2" t="s">
        <v>192</v>
      </c>
      <c r="AB2" t="s">
        <v>192</v>
      </c>
    </row>
    <row r="3" spans="1:28" x14ac:dyDescent="0.3">
      <c r="A3" t="s">
        <v>1617</v>
      </c>
      <c r="B3" t="s">
        <v>2022</v>
      </c>
      <c r="C3" t="s">
        <v>2820</v>
      </c>
      <c r="D3" t="s">
        <v>44</v>
      </c>
      <c r="E3" s="1">
        <v>46055</v>
      </c>
      <c r="F3">
        <v>10</v>
      </c>
      <c r="G3">
        <v>1</v>
      </c>
      <c r="H3">
        <v>20</v>
      </c>
      <c r="I3">
        <v>2</v>
      </c>
      <c r="J3" t="s">
        <v>963</v>
      </c>
      <c r="K3" t="s">
        <v>617</v>
      </c>
      <c r="L3" t="s">
        <v>712</v>
      </c>
      <c r="M3" s="3" t="str">
        <f>HYPERLINK("https://ovidsp.ovid.com/ovidweb.cgi?T=JS&amp;NEWS=n&amp;CSC=Y&amp;PAGE=toc&amp;D=yrovft&amp;AN=02054229-000000000-00000","https://ovidsp.ovid.com/ovidweb.cgi?T=JS&amp;NEWS=n&amp;CSC=Y&amp;PAGE=toc&amp;D=yrovft&amp;AN=02054229-000000000-00000")</f>
        <v>https://ovidsp.ovid.com/ovidweb.cgi?T=JS&amp;NEWS=n&amp;CSC=Y&amp;PAGE=toc&amp;D=yrovft&amp;AN=02054229-000000000-00000</v>
      </c>
      <c r="N3" t="s">
        <v>2656</v>
      </c>
      <c r="O3" t="s">
        <v>2151</v>
      </c>
      <c r="P3" t="s">
        <v>2431</v>
      </c>
      <c r="Q3">
        <v>1428052</v>
      </c>
      <c r="R3" t="s">
        <v>1533</v>
      </c>
      <c r="S3" t="s">
        <v>84</v>
      </c>
      <c r="T3" t="s">
        <v>2152</v>
      </c>
      <c r="U3" t="s">
        <v>841</v>
      </c>
      <c r="V3" t="b">
        <v>0</v>
      </c>
      <c r="W3" t="s">
        <v>2022</v>
      </c>
      <c r="X3" t="b">
        <v>0</v>
      </c>
      <c r="Y3" t="s">
        <v>2022</v>
      </c>
      <c r="Z3" t="s">
        <v>1351</v>
      </c>
      <c r="AA3" t="s">
        <v>192</v>
      </c>
      <c r="AB3" t="s">
        <v>192</v>
      </c>
    </row>
    <row r="4" spans="1:28" x14ac:dyDescent="0.3">
      <c r="A4" t="s">
        <v>973</v>
      </c>
      <c r="B4" t="s">
        <v>1156</v>
      </c>
      <c r="C4" t="s">
        <v>2022</v>
      </c>
      <c r="D4" t="s">
        <v>44</v>
      </c>
      <c r="E4" s="1">
        <v>46055</v>
      </c>
      <c r="F4">
        <v>0</v>
      </c>
      <c r="G4">
        <v>0</v>
      </c>
      <c r="H4">
        <v>0</v>
      </c>
      <c r="I4">
        <v>0</v>
      </c>
      <c r="J4" t="s">
        <v>1477</v>
      </c>
      <c r="K4" t="s">
        <v>2380</v>
      </c>
      <c r="L4" t="s">
        <v>2328</v>
      </c>
      <c r="M4" s="3" t="str">
        <f>HYPERLINK("https://ovidsp.ovid.com/ovidweb.cgi?T=JS&amp;NEWS=n&amp;CSC=Y&amp;PAGE=toc&amp;D=yrovft&amp;AN=00754481-000000000-00000","https://ovidsp.ovid.com/ovidweb.cgi?T=JS&amp;NEWS=n&amp;CSC=Y&amp;PAGE=toc&amp;D=yrovft&amp;AN=00754481-000000000-00000")</f>
        <v>https://ovidsp.ovid.com/ovidweb.cgi?T=JS&amp;NEWS=n&amp;CSC=Y&amp;PAGE=toc&amp;D=yrovft&amp;AN=00754481-000000000-00000</v>
      </c>
      <c r="N4" t="s">
        <v>2022</v>
      </c>
      <c r="O4" t="s">
        <v>2151</v>
      </c>
      <c r="P4" t="s">
        <v>2431</v>
      </c>
      <c r="Q4">
        <v>1428052</v>
      </c>
      <c r="R4" t="s">
        <v>103</v>
      </c>
      <c r="S4" t="s">
        <v>84</v>
      </c>
      <c r="T4" t="s">
        <v>2152</v>
      </c>
      <c r="U4" t="s">
        <v>1644</v>
      </c>
      <c r="V4" t="b">
        <v>0</v>
      </c>
      <c r="W4" t="s">
        <v>2022</v>
      </c>
      <c r="X4" t="b">
        <v>0</v>
      </c>
      <c r="Y4" t="s">
        <v>2022</v>
      </c>
      <c r="Z4" t="s">
        <v>2196</v>
      </c>
      <c r="AA4" t="s">
        <v>192</v>
      </c>
      <c r="AB4" t="s">
        <v>192</v>
      </c>
    </row>
    <row r="5" spans="1:28" x14ac:dyDescent="0.3">
      <c r="A5" t="s">
        <v>1471</v>
      </c>
      <c r="B5" t="s">
        <v>2022</v>
      </c>
      <c r="C5" t="s">
        <v>611</v>
      </c>
      <c r="D5" t="s">
        <v>44</v>
      </c>
      <c r="E5" s="1">
        <v>46055</v>
      </c>
      <c r="F5">
        <v>1</v>
      </c>
      <c r="G5">
        <v>1</v>
      </c>
      <c r="H5">
        <v>13</v>
      </c>
      <c r="I5">
        <v>1</v>
      </c>
      <c r="J5" t="s">
        <v>956</v>
      </c>
      <c r="K5" t="s">
        <v>3017</v>
      </c>
      <c r="L5" t="s">
        <v>2919</v>
      </c>
      <c r="M5" s="3" t="str">
        <f>HYPERLINK("https://ovidsp.ovid.com/ovidweb.cgi?T=JS&amp;NEWS=n&amp;CSC=Y&amp;PAGE=toc&amp;D=yrovft&amp;AN=02075970-000000000-00000","https://ovidsp.ovid.com/ovidweb.cgi?T=JS&amp;NEWS=n&amp;CSC=Y&amp;PAGE=toc&amp;D=yrovft&amp;AN=02075970-000000000-00000")</f>
        <v>https://ovidsp.ovid.com/ovidweb.cgi?T=JS&amp;NEWS=n&amp;CSC=Y&amp;PAGE=toc&amp;D=yrovft&amp;AN=02075970-000000000-00000</v>
      </c>
      <c r="N5" t="s">
        <v>402</v>
      </c>
      <c r="O5" t="s">
        <v>2151</v>
      </c>
      <c r="P5" t="s">
        <v>2431</v>
      </c>
      <c r="Q5">
        <v>1428052</v>
      </c>
      <c r="R5" t="s">
        <v>585</v>
      </c>
      <c r="S5" t="s">
        <v>84</v>
      </c>
      <c r="T5" t="s">
        <v>2152</v>
      </c>
      <c r="U5" t="s">
        <v>2432</v>
      </c>
      <c r="V5" t="b">
        <v>0</v>
      </c>
      <c r="W5" t="s">
        <v>2022</v>
      </c>
      <c r="X5" t="b">
        <v>0</v>
      </c>
      <c r="Y5" t="s">
        <v>2022</v>
      </c>
      <c r="Z5" t="s">
        <v>1351</v>
      </c>
      <c r="AA5" t="s">
        <v>192</v>
      </c>
      <c r="AB5" t="s">
        <v>192</v>
      </c>
    </row>
    <row r="6" spans="1:28" x14ac:dyDescent="0.3">
      <c r="A6" t="s">
        <v>1768</v>
      </c>
      <c r="B6" t="s">
        <v>1748</v>
      </c>
      <c r="C6" t="s">
        <v>1718</v>
      </c>
      <c r="D6" t="s">
        <v>44</v>
      </c>
      <c r="E6" s="1">
        <v>46055</v>
      </c>
      <c r="F6">
        <v>19</v>
      </c>
      <c r="G6">
        <v>1</v>
      </c>
      <c r="H6">
        <v>30</v>
      </c>
      <c r="I6">
        <v>1</v>
      </c>
      <c r="J6" t="s">
        <v>672</v>
      </c>
      <c r="K6" t="s">
        <v>1959</v>
      </c>
      <c r="L6" t="s">
        <v>2919</v>
      </c>
      <c r="M6" s="3" t="str">
        <f>HYPERLINK("https://ovidsp.ovid.com/ovidweb.cgi?T=JS&amp;NEWS=n&amp;CSC=Y&amp;PAGE=toc&amp;D=yrovft&amp;AN=00135124-000000000-00000","https://ovidsp.ovid.com/ovidweb.cgi?T=JS&amp;NEWS=n&amp;CSC=Y&amp;PAGE=toc&amp;D=yrovft&amp;AN=00135124-000000000-00000")</f>
        <v>https://ovidsp.ovid.com/ovidweb.cgi?T=JS&amp;NEWS=n&amp;CSC=Y&amp;PAGE=toc&amp;D=yrovft&amp;AN=00135124-000000000-00000</v>
      </c>
      <c r="N6" t="s">
        <v>2207</v>
      </c>
      <c r="O6" t="s">
        <v>2151</v>
      </c>
      <c r="P6" t="s">
        <v>2431</v>
      </c>
      <c r="Q6">
        <v>1428052</v>
      </c>
      <c r="R6" t="s">
        <v>1173</v>
      </c>
      <c r="S6" t="s">
        <v>84</v>
      </c>
      <c r="T6" t="s">
        <v>2152</v>
      </c>
      <c r="U6" t="s">
        <v>1893</v>
      </c>
      <c r="V6" t="b">
        <v>0</v>
      </c>
      <c r="W6" t="s">
        <v>2022</v>
      </c>
      <c r="X6" t="b">
        <v>0</v>
      </c>
      <c r="Y6" t="s">
        <v>2022</v>
      </c>
      <c r="Z6" t="s">
        <v>831</v>
      </c>
      <c r="AA6" t="s">
        <v>192</v>
      </c>
      <c r="AB6" t="s">
        <v>192</v>
      </c>
    </row>
    <row r="7" spans="1:28" x14ac:dyDescent="0.3">
      <c r="A7" t="s">
        <v>662</v>
      </c>
      <c r="B7" t="s">
        <v>2022</v>
      </c>
      <c r="C7" t="s">
        <v>1304</v>
      </c>
      <c r="D7" t="s">
        <v>44</v>
      </c>
      <c r="E7" s="1">
        <v>46055</v>
      </c>
      <c r="F7">
        <v>1</v>
      </c>
      <c r="G7">
        <v>1</v>
      </c>
      <c r="H7">
        <v>5</v>
      </c>
      <c r="I7">
        <v>4</v>
      </c>
      <c r="J7" t="s">
        <v>114</v>
      </c>
      <c r="K7" t="s">
        <v>1363</v>
      </c>
      <c r="L7" t="s">
        <v>2771</v>
      </c>
      <c r="M7" s="3" t="str">
        <f>HYPERLINK("https://ovidsp.ovid.com/ovidweb.cgi?T=JS&amp;NEWS=n&amp;CSC=Y&amp;PAGE=toc&amp;D=yrovft&amp;AN=02233705-000000000-00000","https://ovidsp.ovid.com/ovidweb.cgi?T=JS&amp;NEWS=n&amp;CSC=Y&amp;PAGE=toc&amp;D=yrovft&amp;AN=02233705-000000000-00000")</f>
        <v>https://ovidsp.ovid.com/ovidweb.cgi?T=JS&amp;NEWS=n&amp;CSC=Y&amp;PAGE=toc&amp;D=yrovft&amp;AN=02233705-000000000-00000</v>
      </c>
      <c r="N7" t="s">
        <v>1384</v>
      </c>
      <c r="O7" t="s">
        <v>2151</v>
      </c>
      <c r="P7" t="s">
        <v>2431</v>
      </c>
      <c r="Q7">
        <v>1428052</v>
      </c>
      <c r="R7" t="s">
        <v>1240</v>
      </c>
      <c r="S7" t="s">
        <v>84</v>
      </c>
      <c r="T7" t="s">
        <v>2152</v>
      </c>
      <c r="U7" t="s">
        <v>1187</v>
      </c>
      <c r="V7" t="b">
        <v>0</v>
      </c>
      <c r="W7" t="s">
        <v>2022</v>
      </c>
      <c r="X7" t="b">
        <v>0</v>
      </c>
      <c r="Y7" t="s">
        <v>2022</v>
      </c>
      <c r="Z7" t="s">
        <v>1154</v>
      </c>
      <c r="AA7" t="s">
        <v>192</v>
      </c>
      <c r="AB7" t="s">
        <v>192</v>
      </c>
    </row>
    <row r="8" spans="1:28" x14ac:dyDescent="0.3">
      <c r="A8" t="s">
        <v>2233</v>
      </c>
      <c r="B8" t="s">
        <v>321</v>
      </c>
      <c r="C8" t="s">
        <v>2294</v>
      </c>
      <c r="D8" t="s">
        <v>44</v>
      </c>
      <c r="E8" s="1">
        <v>46055</v>
      </c>
      <c r="F8">
        <v>1</v>
      </c>
      <c r="G8">
        <v>1</v>
      </c>
      <c r="H8">
        <v>20</v>
      </c>
      <c r="I8">
        <v>4</v>
      </c>
      <c r="J8" t="s">
        <v>667</v>
      </c>
      <c r="K8" t="s">
        <v>2255</v>
      </c>
      <c r="L8" t="s">
        <v>982</v>
      </c>
      <c r="M8" s="3" t="str">
        <f>HYPERLINK("https://ovidsp.ovid.com/ovidweb.cgi?T=JS&amp;NEWS=n&amp;CSC=Y&amp;PAGE=toc&amp;D=yrovft&amp;AN=00132576-000000000-00000","https://ovidsp.ovid.com/ovidweb.cgi?T=JS&amp;NEWS=n&amp;CSC=Y&amp;PAGE=toc&amp;D=yrovft&amp;AN=00132576-000000000-00000")</f>
        <v>https://ovidsp.ovid.com/ovidweb.cgi?T=JS&amp;NEWS=n&amp;CSC=Y&amp;PAGE=toc&amp;D=yrovft&amp;AN=00132576-000000000-00000</v>
      </c>
      <c r="N8" t="s">
        <v>2417</v>
      </c>
      <c r="O8" t="s">
        <v>2151</v>
      </c>
      <c r="P8" t="s">
        <v>2431</v>
      </c>
      <c r="Q8">
        <v>1428052</v>
      </c>
      <c r="R8" t="s">
        <v>466</v>
      </c>
      <c r="S8" t="s">
        <v>84</v>
      </c>
      <c r="T8" t="s">
        <v>2152</v>
      </c>
      <c r="U8" t="s">
        <v>3153</v>
      </c>
      <c r="V8" t="b">
        <v>0</v>
      </c>
      <c r="W8" t="s">
        <v>2022</v>
      </c>
      <c r="X8" t="b">
        <v>0</v>
      </c>
      <c r="Y8" t="s">
        <v>2022</v>
      </c>
      <c r="Z8" t="s">
        <v>1084</v>
      </c>
      <c r="AA8" t="s">
        <v>192</v>
      </c>
      <c r="AB8" t="s">
        <v>192</v>
      </c>
    </row>
    <row r="9" spans="1:28" x14ac:dyDescent="0.3">
      <c r="A9" t="s">
        <v>172</v>
      </c>
      <c r="B9" t="s">
        <v>1347</v>
      </c>
      <c r="C9" t="s">
        <v>1564</v>
      </c>
      <c r="D9" t="s">
        <v>44</v>
      </c>
      <c r="E9" s="1">
        <v>46055</v>
      </c>
      <c r="F9">
        <v>37</v>
      </c>
      <c r="G9">
        <v>1</v>
      </c>
      <c r="H9">
        <v>47</v>
      </c>
      <c r="I9">
        <v>4</v>
      </c>
      <c r="J9" t="s">
        <v>2269</v>
      </c>
      <c r="K9" t="s">
        <v>1959</v>
      </c>
      <c r="L9" t="s">
        <v>2802</v>
      </c>
      <c r="M9" s="3" t="str">
        <f>HYPERLINK("https://ovidsp.ovid.com/ovidweb.cgi?T=JS&amp;NEWS=n&amp;CSC=Y&amp;PAGE=toc&amp;D=yrovft&amp;AN=01261775-000000000-00000","https://ovidsp.ovid.com/ovidweb.cgi?T=JS&amp;NEWS=n&amp;CSC=Y&amp;PAGE=toc&amp;D=yrovft&amp;AN=01261775-000000000-00000")</f>
        <v>https://ovidsp.ovid.com/ovidweb.cgi?T=JS&amp;NEWS=n&amp;CSC=Y&amp;PAGE=toc&amp;D=yrovft&amp;AN=01261775-000000000-00000</v>
      </c>
      <c r="N9" t="s">
        <v>300</v>
      </c>
      <c r="O9" t="s">
        <v>2151</v>
      </c>
      <c r="P9" t="s">
        <v>2431</v>
      </c>
      <c r="Q9">
        <v>1428052</v>
      </c>
      <c r="R9" t="s">
        <v>1387</v>
      </c>
      <c r="S9" t="s">
        <v>84</v>
      </c>
      <c r="T9" t="s">
        <v>2152</v>
      </c>
      <c r="U9" t="s">
        <v>263</v>
      </c>
      <c r="V9" t="b">
        <v>1</v>
      </c>
      <c r="W9" t="s">
        <v>2740</v>
      </c>
      <c r="X9" t="b">
        <v>0</v>
      </c>
      <c r="Y9" t="s">
        <v>2022</v>
      </c>
      <c r="Z9" t="s">
        <v>118</v>
      </c>
      <c r="AA9" t="s">
        <v>192</v>
      </c>
      <c r="AB9" t="s">
        <v>192</v>
      </c>
    </row>
    <row r="10" spans="1:28" x14ac:dyDescent="0.3">
      <c r="A10" t="s">
        <v>2025</v>
      </c>
      <c r="B10" t="s">
        <v>369</v>
      </c>
      <c r="C10" t="s">
        <v>602</v>
      </c>
      <c r="D10" t="s">
        <v>44</v>
      </c>
      <c r="E10" s="1">
        <v>46055</v>
      </c>
      <c r="F10">
        <v>22</v>
      </c>
      <c r="G10">
        <v>1</v>
      </c>
      <c r="H10">
        <v>33</v>
      </c>
      <c r="I10">
        <v>1</v>
      </c>
      <c r="J10" t="s">
        <v>672</v>
      </c>
      <c r="K10" t="s">
        <v>1959</v>
      </c>
      <c r="L10" t="s">
        <v>2919</v>
      </c>
      <c r="M10" s="3" t="str">
        <f>HYPERLINK("https://ovidsp.ovid.com/ovidweb.cgi?T=JS&amp;NEWS=n&amp;CSC=Y&amp;PAGE=toc&amp;D=yrovft&amp;AN=00125480-000000000-00000","https://ovidsp.ovid.com/ovidweb.cgi?T=JS&amp;NEWS=n&amp;CSC=Y&amp;PAGE=toc&amp;D=yrovft&amp;AN=00125480-000000000-00000")</f>
        <v>https://ovidsp.ovid.com/ovidweb.cgi?T=JS&amp;NEWS=n&amp;CSC=Y&amp;PAGE=toc&amp;D=yrovft&amp;AN=00125480-000000000-00000</v>
      </c>
      <c r="N10" t="s">
        <v>755</v>
      </c>
      <c r="O10" t="s">
        <v>2151</v>
      </c>
      <c r="P10" t="s">
        <v>2431</v>
      </c>
      <c r="Q10">
        <v>1428052</v>
      </c>
      <c r="R10" t="s">
        <v>3081</v>
      </c>
      <c r="S10" t="s">
        <v>84</v>
      </c>
      <c r="T10" t="s">
        <v>2152</v>
      </c>
      <c r="U10" t="s">
        <v>387</v>
      </c>
      <c r="V10" t="b">
        <v>1</v>
      </c>
      <c r="W10" t="s">
        <v>818</v>
      </c>
      <c r="X10" t="b">
        <v>0</v>
      </c>
      <c r="Y10" t="s">
        <v>2022</v>
      </c>
      <c r="Z10" t="s">
        <v>831</v>
      </c>
      <c r="AA10" t="s">
        <v>192</v>
      </c>
      <c r="AB10" t="s">
        <v>192</v>
      </c>
    </row>
    <row r="11" spans="1:28" x14ac:dyDescent="0.3">
      <c r="A11" t="s">
        <v>2</v>
      </c>
      <c r="B11" t="s">
        <v>1275</v>
      </c>
      <c r="C11" t="s">
        <v>156</v>
      </c>
      <c r="D11" t="s">
        <v>44</v>
      </c>
      <c r="E11" s="1">
        <v>46055</v>
      </c>
      <c r="F11">
        <v>15</v>
      </c>
      <c r="G11">
        <v>1</v>
      </c>
      <c r="H11">
        <v>25</v>
      </c>
      <c r="I11">
        <v>6</v>
      </c>
      <c r="J11" t="s">
        <v>1458</v>
      </c>
      <c r="K11" t="s">
        <v>1525</v>
      </c>
      <c r="L11" t="s">
        <v>2771</v>
      </c>
      <c r="M11" s="3" t="str">
        <f>HYPERLINK("https://ovidsp.ovid.com/ovidweb.cgi?T=JS&amp;NEWS=n&amp;CSC=Y&amp;PAGE=toc&amp;D=yrovft&amp;AN=00149525-000000000-00000","https://ovidsp.ovid.com/ovidweb.cgi?T=JS&amp;NEWS=n&amp;CSC=Y&amp;PAGE=toc&amp;D=yrovft&amp;AN=00149525-000000000-00000")</f>
        <v>https://ovidsp.ovid.com/ovidweb.cgi?T=JS&amp;NEWS=n&amp;CSC=Y&amp;PAGE=toc&amp;D=yrovft&amp;AN=00149525-000000000-00000</v>
      </c>
      <c r="N11" t="s">
        <v>525</v>
      </c>
      <c r="O11" t="s">
        <v>2151</v>
      </c>
      <c r="P11" t="s">
        <v>2431</v>
      </c>
      <c r="Q11">
        <v>1428052</v>
      </c>
      <c r="R11" t="s">
        <v>2480</v>
      </c>
      <c r="S11" t="s">
        <v>84</v>
      </c>
      <c r="T11" t="s">
        <v>2152</v>
      </c>
      <c r="U11" t="s">
        <v>185</v>
      </c>
      <c r="V11" t="b">
        <v>1</v>
      </c>
      <c r="W11" t="s">
        <v>253</v>
      </c>
      <c r="X11" t="b">
        <v>0</v>
      </c>
      <c r="Y11" t="s">
        <v>2022</v>
      </c>
      <c r="Z11" t="s">
        <v>478</v>
      </c>
      <c r="AA11" t="s">
        <v>192</v>
      </c>
      <c r="AB11" t="s">
        <v>192</v>
      </c>
    </row>
    <row r="12" spans="1:28" x14ac:dyDescent="0.3">
      <c r="A12" t="s">
        <v>104</v>
      </c>
      <c r="B12" t="s">
        <v>1557</v>
      </c>
      <c r="C12" t="s">
        <v>2297</v>
      </c>
      <c r="D12" t="s">
        <v>44</v>
      </c>
      <c r="E12" s="1">
        <v>46055</v>
      </c>
      <c r="F12">
        <v>38</v>
      </c>
      <c r="G12">
        <v>1</v>
      </c>
      <c r="H12">
        <v>49</v>
      </c>
      <c r="I12">
        <v>1</v>
      </c>
      <c r="J12" t="s">
        <v>672</v>
      </c>
      <c r="K12" t="s">
        <v>1959</v>
      </c>
      <c r="L12" t="s">
        <v>2919</v>
      </c>
      <c r="M12" s="3" t="str">
        <f>HYPERLINK("https://ovidsp.ovid.com/ovidweb.cgi?T=JS&amp;NEWS=n&amp;CSC=Y&amp;PAGE=toc&amp;D=yrovft&amp;AN=00012272-000000000-00000","https://ovidsp.ovid.com/ovidweb.cgi?T=JS&amp;NEWS=n&amp;CSC=Y&amp;PAGE=toc&amp;D=yrovft&amp;AN=00012272-000000000-00000")</f>
        <v>https://ovidsp.ovid.com/ovidweb.cgi?T=JS&amp;NEWS=n&amp;CSC=Y&amp;PAGE=toc&amp;D=yrovft&amp;AN=00012272-000000000-00000</v>
      </c>
      <c r="N12" t="s">
        <v>539</v>
      </c>
      <c r="O12" t="s">
        <v>2151</v>
      </c>
      <c r="P12" t="s">
        <v>2431</v>
      </c>
      <c r="Q12">
        <v>1428052</v>
      </c>
      <c r="R12" t="s">
        <v>1574</v>
      </c>
      <c r="S12" t="s">
        <v>84</v>
      </c>
      <c r="T12" t="s">
        <v>2152</v>
      </c>
      <c r="U12" t="s">
        <v>678</v>
      </c>
      <c r="V12" t="b">
        <v>1</v>
      </c>
      <c r="W12" t="s">
        <v>2928</v>
      </c>
      <c r="X12" t="b">
        <v>0</v>
      </c>
      <c r="Y12" t="s">
        <v>2022</v>
      </c>
      <c r="Z12" t="s">
        <v>478</v>
      </c>
      <c r="AA12" t="s">
        <v>192</v>
      </c>
      <c r="AB12" t="s">
        <v>192</v>
      </c>
    </row>
    <row r="13" spans="1:28" x14ac:dyDescent="0.3">
      <c r="A13" t="s">
        <v>2604</v>
      </c>
      <c r="B13" t="s">
        <v>1036</v>
      </c>
      <c r="C13" t="s">
        <v>2922</v>
      </c>
      <c r="D13" t="s">
        <v>44</v>
      </c>
      <c r="E13" s="1">
        <v>46055</v>
      </c>
      <c r="F13">
        <v>28</v>
      </c>
      <c r="G13">
        <v>1</v>
      </c>
      <c r="H13">
        <v>39</v>
      </c>
      <c r="I13">
        <v>1</v>
      </c>
      <c r="J13" t="s">
        <v>672</v>
      </c>
      <c r="K13" t="s">
        <v>1959</v>
      </c>
      <c r="L13" t="s">
        <v>2919</v>
      </c>
      <c r="M13" s="3" t="str">
        <f>HYPERLINK("https://ovidsp.ovid.com/ovidweb.cgi?T=JS&amp;NEWS=n&amp;CSC=Y&amp;PAGE=toc&amp;D=yrovft&amp;AN=00129334-000000000-00000","https://ovidsp.ovid.com/ovidweb.cgi?T=JS&amp;NEWS=n&amp;CSC=Y&amp;PAGE=toc&amp;D=yrovft&amp;AN=00129334-000000000-00000")</f>
        <v>https://ovidsp.ovid.com/ovidweb.cgi?T=JS&amp;NEWS=n&amp;CSC=Y&amp;PAGE=toc&amp;D=yrovft&amp;AN=00129334-000000000-00000</v>
      </c>
      <c r="N13" t="s">
        <v>1951</v>
      </c>
      <c r="O13" t="s">
        <v>2151</v>
      </c>
      <c r="P13" t="s">
        <v>2431</v>
      </c>
      <c r="Q13">
        <v>1428052</v>
      </c>
      <c r="R13" t="s">
        <v>518</v>
      </c>
      <c r="S13" t="s">
        <v>84</v>
      </c>
      <c r="T13" t="s">
        <v>2152</v>
      </c>
      <c r="U13" t="s">
        <v>314</v>
      </c>
      <c r="V13" t="b">
        <v>1</v>
      </c>
      <c r="W13" t="s">
        <v>933</v>
      </c>
      <c r="X13" t="b">
        <v>0</v>
      </c>
      <c r="Y13" t="s">
        <v>2022</v>
      </c>
      <c r="Z13" t="s">
        <v>2376</v>
      </c>
      <c r="AA13" t="s">
        <v>192</v>
      </c>
      <c r="AB13" t="s">
        <v>192</v>
      </c>
    </row>
    <row r="14" spans="1:28" x14ac:dyDescent="0.3">
      <c r="A14" t="s">
        <v>967</v>
      </c>
      <c r="B14" t="s">
        <v>1345</v>
      </c>
      <c r="C14" t="s">
        <v>1105</v>
      </c>
      <c r="D14" t="s">
        <v>44</v>
      </c>
      <c r="E14" s="1">
        <v>46055</v>
      </c>
      <c r="F14">
        <v>290</v>
      </c>
      <c r="G14">
        <v>1</v>
      </c>
      <c r="H14">
        <v>356</v>
      </c>
      <c r="I14">
        <v>1</v>
      </c>
      <c r="J14" t="s">
        <v>1878</v>
      </c>
      <c r="K14" t="s">
        <v>1525</v>
      </c>
      <c r="L14" t="s">
        <v>712</v>
      </c>
      <c r="M14" s="3" t="str">
        <f>HYPERLINK("https://ovidsp.ovid.com/ovidweb.cgi?T=JS&amp;NEWS=n&amp;CSC=Y&amp;PAGE=toc&amp;D=yrovft&amp;AN=00012995-000000000-00000","https://ovidsp.ovid.com/ovidweb.cgi?T=JS&amp;NEWS=n&amp;CSC=Y&amp;PAGE=toc&amp;D=yrovft&amp;AN=00012995-000000000-00000")</f>
        <v>https://ovidsp.ovid.com/ovidweb.cgi?T=JS&amp;NEWS=n&amp;CSC=Y&amp;PAGE=toc&amp;D=yrovft&amp;AN=00012995-000000000-00000</v>
      </c>
      <c r="N14" t="s">
        <v>2528</v>
      </c>
      <c r="O14" t="s">
        <v>2151</v>
      </c>
      <c r="P14" t="s">
        <v>2431</v>
      </c>
      <c r="Q14">
        <v>1428052</v>
      </c>
      <c r="R14" t="s">
        <v>2570</v>
      </c>
      <c r="S14" t="s">
        <v>84</v>
      </c>
      <c r="T14" t="s">
        <v>2152</v>
      </c>
      <c r="U14" t="s">
        <v>2394</v>
      </c>
      <c r="V14" t="b">
        <v>0</v>
      </c>
      <c r="W14" t="s">
        <v>2022</v>
      </c>
      <c r="X14" t="b">
        <v>0</v>
      </c>
      <c r="Y14" t="s">
        <v>2022</v>
      </c>
      <c r="Z14" t="s">
        <v>790</v>
      </c>
      <c r="AA14" t="s">
        <v>192</v>
      </c>
      <c r="AB14" t="s">
        <v>192</v>
      </c>
    </row>
    <row r="15" spans="1:28" x14ac:dyDescent="0.3">
      <c r="A15" t="s">
        <v>1511</v>
      </c>
      <c r="B15" t="s">
        <v>39</v>
      </c>
      <c r="C15" t="s">
        <v>1362</v>
      </c>
      <c r="D15" t="s">
        <v>44</v>
      </c>
      <c r="E15" s="1">
        <v>46055</v>
      </c>
      <c r="F15">
        <v>29</v>
      </c>
      <c r="G15">
        <v>1</v>
      </c>
      <c r="H15">
        <v>40</v>
      </c>
      <c r="I15">
        <v>3</v>
      </c>
      <c r="J15" t="s">
        <v>544</v>
      </c>
      <c r="K15" t="s">
        <v>2788</v>
      </c>
      <c r="L15" t="s">
        <v>2441</v>
      </c>
      <c r="M15" s="3" t="str">
        <f>HYPERLINK("https://ovidsp.ovid.com/ovidweb.cgi?T=JS&amp;NEWS=n&amp;CSC=Y&amp;PAGE=toc&amp;D=yrovft&amp;AN=00002030-000000000-00000","https://ovidsp.ovid.com/ovidweb.cgi?T=JS&amp;NEWS=n&amp;CSC=Y&amp;PAGE=toc&amp;D=yrovft&amp;AN=00002030-000000000-00000")</f>
        <v>https://ovidsp.ovid.com/ovidweb.cgi?T=JS&amp;NEWS=n&amp;CSC=Y&amp;PAGE=toc&amp;D=yrovft&amp;AN=00002030-000000000-00000</v>
      </c>
      <c r="N15" t="s">
        <v>2478</v>
      </c>
      <c r="O15" t="s">
        <v>2151</v>
      </c>
      <c r="P15" t="s">
        <v>2431</v>
      </c>
      <c r="Q15">
        <v>1428052</v>
      </c>
      <c r="R15" t="s">
        <v>2766</v>
      </c>
      <c r="S15" t="s">
        <v>84</v>
      </c>
      <c r="T15" t="s">
        <v>2152</v>
      </c>
      <c r="U15" t="s">
        <v>2161</v>
      </c>
      <c r="V15" t="b">
        <v>1</v>
      </c>
      <c r="W15" t="s">
        <v>788</v>
      </c>
      <c r="X15" t="b">
        <v>0</v>
      </c>
      <c r="Y15" t="s">
        <v>2022</v>
      </c>
      <c r="Z15" t="s">
        <v>1781</v>
      </c>
      <c r="AA15" t="s">
        <v>192</v>
      </c>
      <c r="AB15" t="s">
        <v>192</v>
      </c>
    </row>
    <row r="16" spans="1:28" x14ac:dyDescent="0.3">
      <c r="A16" t="s">
        <v>1481</v>
      </c>
      <c r="B16" t="s">
        <v>2424</v>
      </c>
      <c r="C16" t="s">
        <v>150</v>
      </c>
      <c r="D16" t="s">
        <v>44</v>
      </c>
      <c r="E16" s="1">
        <v>46055</v>
      </c>
      <c r="F16">
        <v>115</v>
      </c>
      <c r="G16">
        <v>1</v>
      </c>
      <c r="H16">
        <v>126</v>
      </c>
      <c r="I16">
        <v>2</v>
      </c>
      <c r="J16" t="s">
        <v>2585</v>
      </c>
      <c r="K16" t="s">
        <v>1959</v>
      </c>
      <c r="L16" t="s">
        <v>712</v>
      </c>
      <c r="M16" s="3" t="str">
        <f>HYPERLINK("https://ovidsp.ovid.com/ovidweb.cgi?T=JS&amp;NEWS=n&amp;CSC=Y&amp;PAGE=toc&amp;D=yrovft&amp;AN=00000446-000000000-00000","https://ovidsp.ovid.com/ovidweb.cgi?T=JS&amp;NEWS=n&amp;CSC=Y&amp;PAGE=toc&amp;D=yrovft&amp;AN=00000446-000000000-00000")</f>
        <v>https://ovidsp.ovid.com/ovidweb.cgi?T=JS&amp;NEWS=n&amp;CSC=Y&amp;PAGE=toc&amp;D=yrovft&amp;AN=00000446-000000000-00000</v>
      </c>
      <c r="N16" t="s">
        <v>344</v>
      </c>
      <c r="O16" t="s">
        <v>2151</v>
      </c>
      <c r="P16" t="s">
        <v>2431</v>
      </c>
      <c r="Q16">
        <v>1428052</v>
      </c>
      <c r="R16" t="s">
        <v>1383</v>
      </c>
      <c r="S16" t="s">
        <v>84</v>
      </c>
      <c r="T16" t="s">
        <v>2152</v>
      </c>
      <c r="U16" t="s">
        <v>1505</v>
      </c>
      <c r="V16" t="b">
        <v>0</v>
      </c>
      <c r="W16" t="s">
        <v>2022</v>
      </c>
      <c r="X16" t="b">
        <v>0</v>
      </c>
      <c r="Y16" t="s">
        <v>2022</v>
      </c>
      <c r="Z16" t="s">
        <v>2944</v>
      </c>
      <c r="AA16" t="s">
        <v>192</v>
      </c>
      <c r="AB16" t="s">
        <v>192</v>
      </c>
    </row>
    <row r="17" spans="1:28" x14ac:dyDescent="0.3">
      <c r="A17" t="s">
        <v>294</v>
      </c>
      <c r="B17" t="s">
        <v>1040</v>
      </c>
      <c r="C17" t="s">
        <v>2863</v>
      </c>
      <c r="D17" t="s">
        <v>44</v>
      </c>
      <c r="E17" s="1">
        <v>46055</v>
      </c>
      <c r="F17">
        <v>21</v>
      </c>
      <c r="G17">
        <v>1</v>
      </c>
      <c r="H17">
        <v>27</v>
      </c>
      <c r="I17">
        <v>6</v>
      </c>
      <c r="J17" t="s">
        <v>1875</v>
      </c>
      <c r="K17" t="s">
        <v>2571</v>
      </c>
      <c r="L17" t="s">
        <v>516</v>
      </c>
      <c r="M17" s="3" t="str">
        <f>HYPERLINK("https://ovidsp.ovid.com/ovidweb.cgi?T=JS&amp;NEWS=n&amp;CSC=Y&amp;PAGE=toc&amp;D=yrovft&amp;AN=01929425-000000000-00000","https://ovidsp.ovid.com/ovidweb.cgi?T=JS&amp;NEWS=n&amp;CSC=Y&amp;PAGE=toc&amp;D=yrovft&amp;AN=01929425-000000000-00000")</f>
        <v>https://ovidsp.ovid.com/ovidweb.cgi?T=JS&amp;NEWS=n&amp;CSC=Y&amp;PAGE=toc&amp;D=yrovft&amp;AN=01929425-000000000-00000</v>
      </c>
      <c r="N17" t="s">
        <v>2055</v>
      </c>
      <c r="O17" t="s">
        <v>2151</v>
      </c>
      <c r="P17" t="s">
        <v>2431</v>
      </c>
      <c r="Q17">
        <v>1428052</v>
      </c>
      <c r="R17" t="s">
        <v>821</v>
      </c>
      <c r="S17" t="s">
        <v>84</v>
      </c>
      <c r="T17" t="s">
        <v>2152</v>
      </c>
      <c r="U17" t="s">
        <v>2646</v>
      </c>
      <c r="V17" t="b">
        <v>1</v>
      </c>
      <c r="W17" t="s">
        <v>1242</v>
      </c>
      <c r="X17" t="b">
        <v>0</v>
      </c>
      <c r="Y17" t="s">
        <v>2022</v>
      </c>
      <c r="Z17" t="s">
        <v>831</v>
      </c>
      <c r="AA17" t="s">
        <v>192</v>
      </c>
      <c r="AB17" t="s">
        <v>192</v>
      </c>
    </row>
    <row r="18" spans="1:28" x14ac:dyDescent="0.3">
      <c r="A18" t="s">
        <v>494</v>
      </c>
      <c r="B18" t="s">
        <v>2022</v>
      </c>
      <c r="C18" t="s">
        <v>1632</v>
      </c>
      <c r="D18" t="s">
        <v>44</v>
      </c>
      <c r="E18" s="1">
        <v>46055</v>
      </c>
      <c r="F18">
        <v>29</v>
      </c>
      <c r="G18">
        <v>1</v>
      </c>
      <c r="H18">
        <v>39</v>
      </c>
      <c r="I18">
        <v>4</v>
      </c>
      <c r="J18" t="s">
        <v>2269</v>
      </c>
      <c r="K18" t="s">
        <v>1959</v>
      </c>
      <c r="L18" t="s">
        <v>2802</v>
      </c>
      <c r="M18" s="3" t="str">
        <f>HYPERLINK("https://ovidsp.ovid.com/ovidweb.cgi?T=JS&amp;NEWS=n&amp;CSC=Y&amp;PAGE=toc&amp;D=yrovft&amp;AN=00002093-000000000-00000","https://ovidsp.ovid.com/ovidweb.cgi?T=JS&amp;NEWS=n&amp;CSC=Y&amp;PAGE=toc&amp;D=yrovft&amp;AN=00002093-000000000-00000")</f>
        <v>https://ovidsp.ovid.com/ovidweb.cgi?T=JS&amp;NEWS=n&amp;CSC=Y&amp;PAGE=toc&amp;D=yrovft&amp;AN=00002093-000000000-00000</v>
      </c>
      <c r="N18" t="s">
        <v>2168</v>
      </c>
      <c r="O18" t="s">
        <v>2151</v>
      </c>
      <c r="P18" t="s">
        <v>2431</v>
      </c>
      <c r="Q18">
        <v>1428052</v>
      </c>
      <c r="R18" t="s">
        <v>685</v>
      </c>
      <c r="S18" t="s">
        <v>84</v>
      </c>
      <c r="T18" t="s">
        <v>2152</v>
      </c>
      <c r="U18" t="s">
        <v>1287</v>
      </c>
      <c r="V18" t="b">
        <v>1</v>
      </c>
      <c r="W18" t="s">
        <v>1620</v>
      </c>
      <c r="X18" t="b">
        <v>0</v>
      </c>
      <c r="Y18" t="s">
        <v>2022</v>
      </c>
      <c r="Z18" t="s">
        <v>2397</v>
      </c>
      <c r="AA18" t="s">
        <v>192</v>
      </c>
      <c r="AB18" t="s">
        <v>192</v>
      </c>
    </row>
    <row r="19" spans="1:28" x14ac:dyDescent="0.3">
      <c r="A19" t="s">
        <v>2509</v>
      </c>
      <c r="B19" t="s">
        <v>1174</v>
      </c>
      <c r="C19" t="s">
        <v>1329</v>
      </c>
      <c r="D19" t="s">
        <v>44</v>
      </c>
      <c r="E19" s="1">
        <v>46055</v>
      </c>
      <c r="F19">
        <v>1</v>
      </c>
      <c r="G19">
        <v>1</v>
      </c>
      <c r="H19">
        <v>8</v>
      </c>
      <c r="I19">
        <v>2</v>
      </c>
      <c r="J19" t="s">
        <v>695</v>
      </c>
      <c r="K19" t="s">
        <v>313</v>
      </c>
      <c r="L19" t="s">
        <v>1520</v>
      </c>
      <c r="M19" s="3" t="str">
        <f>HYPERLINK("https://ovidsp.ovid.com/ovidweb.cgi?T=JS&amp;NEWS=n&amp;CSC=Y&amp;PAGE=toc&amp;D=yrovft&amp;AN=00130990-000000000-00000","https://ovidsp.ovid.com/ovidweb.cgi?T=JS&amp;NEWS=n&amp;CSC=Y&amp;PAGE=toc&amp;D=yrovft&amp;AN=00130990-000000000-00000")</f>
        <v>https://ovidsp.ovid.com/ovidweb.cgi?T=JS&amp;NEWS=n&amp;CSC=Y&amp;PAGE=toc&amp;D=yrovft&amp;AN=00130990-000000000-00000</v>
      </c>
      <c r="N19" t="s">
        <v>2022</v>
      </c>
      <c r="O19" t="s">
        <v>2151</v>
      </c>
      <c r="P19" t="s">
        <v>2431</v>
      </c>
      <c r="Q19">
        <v>1428052</v>
      </c>
      <c r="R19" t="s">
        <v>490</v>
      </c>
      <c r="S19" t="s">
        <v>84</v>
      </c>
      <c r="T19" t="s">
        <v>2152</v>
      </c>
      <c r="U19" t="s">
        <v>264</v>
      </c>
      <c r="V19" t="b">
        <v>0</v>
      </c>
      <c r="W19" t="s">
        <v>2022</v>
      </c>
      <c r="X19" t="b">
        <v>0</v>
      </c>
      <c r="Y19" t="s">
        <v>2022</v>
      </c>
      <c r="Z19" t="s">
        <v>1351</v>
      </c>
      <c r="AA19" t="s">
        <v>192</v>
      </c>
      <c r="AB19" t="s">
        <v>192</v>
      </c>
    </row>
    <row r="20" spans="1:28" x14ac:dyDescent="0.3">
      <c r="A20" t="s">
        <v>2396</v>
      </c>
      <c r="B20" t="s">
        <v>1380</v>
      </c>
      <c r="C20" t="s">
        <v>2158</v>
      </c>
      <c r="D20" t="s">
        <v>44</v>
      </c>
      <c r="E20" s="1">
        <v>46055</v>
      </c>
      <c r="F20">
        <v>8</v>
      </c>
      <c r="G20">
        <v>3</v>
      </c>
      <c r="H20">
        <v>11</v>
      </c>
      <c r="I20">
        <v>4</v>
      </c>
      <c r="J20" t="s">
        <v>1796</v>
      </c>
      <c r="K20" t="s">
        <v>1293</v>
      </c>
      <c r="L20" t="s">
        <v>1067</v>
      </c>
      <c r="M20" s="3" t="str">
        <f>HYPERLINK("https://ovidsp.ovid.com/ovidweb.cgi?T=JS&amp;NEWS=n&amp;CSC=Y&amp;PAGE=toc&amp;D=yrovft&amp;AN=01300407-000000000-00000","https://ovidsp.ovid.com/ovidweb.cgi?T=JS&amp;NEWS=n&amp;CSC=Y&amp;PAGE=toc&amp;D=yrovft&amp;AN=01300407-000000000-00000")</f>
        <v>https://ovidsp.ovid.com/ovidweb.cgi?T=JS&amp;NEWS=n&amp;CSC=Y&amp;PAGE=toc&amp;D=yrovft&amp;AN=01300407-000000000-00000</v>
      </c>
      <c r="N20" t="s">
        <v>1327</v>
      </c>
      <c r="O20" t="s">
        <v>2151</v>
      </c>
      <c r="P20" t="s">
        <v>2431</v>
      </c>
      <c r="Q20">
        <v>1428052</v>
      </c>
      <c r="R20" t="s">
        <v>717</v>
      </c>
      <c r="S20" t="s">
        <v>84</v>
      </c>
      <c r="T20" t="s">
        <v>2152</v>
      </c>
      <c r="U20" t="s">
        <v>1483</v>
      </c>
      <c r="V20" t="b">
        <v>0</v>
      </c>
      <c r="W20" t="s">
        <v>2022</v>
      </c>
      <c r="X20" t="b">
        <v>0</v>
      </c>
      <c r="Y20" t="s">
        <v>2022</v>
      </c>
      <c r="Z20" t="s">
        <v>1854</v>
      </c>
      <c r="AA20" t="s">
        <v>192</v>
      </c>
      <c r="AB20" t="s">
        <v>192</v>
      </c>
    </row>
    <row r="21" spans="1:28" x14ac:dyDescent="0.3">
      <c r="A21" t="s">
        <v>1444</v>
      </c>
      <c r="B21" t="s">
        <v>1140</v>
      </c>
      <c r="C21" t="s">
        <v>488</v>
      </c>
      <c r="D21" t="s">
        <v>44</v>
      </c>
      <c r="E21" s="1">
        <v>46055</v>
      </c>
      <c r="F21">
        <v>38</v>
      </c>
      <c r="G21">
        <v>1</v>
      </c>
      <c r="H21">
        <v>49</v>
      </c>
      <c r="I21">
        <v>2</v>
      </c>
      <c r="J21" t="s">
        <v>1878</v>
      </c>
      <c r="K21" t="s">
        <v>1525</v>
      </c>
      <c r="L21" t="s">
        <v>712</v>
      </c>
      <c r="M21" s="3" t="str">
        <f>HYPERLINK("https://ovidsp.ovid.com/ovidweb.cgi?T=JS&amp;NEWS=n&amp;CSC=Y&amp;PAGE=toc&amp;D=yrovft&amp;AN=00000421-000000000-00000","https://ovidsp.ovid.com/ovidweb.cgi?T=JS&amp;NEWS=n&amp;CSC=Y&amp;PAGE=toc&amp;D=yrovft&amp;AN=00000421-000000000-00000")</f>
        <v>https://ovidsp.ovid.com/ovidweb.cgi?T=JS&amp;NEWS=n&amp;CSC=Y&amp;PAGE=toc&amp;D=yrovft&amp;AN=00000421-000000000-00000</v>
      </c>
      <c r="N21" t="s">
        <v>2668</v>
      </c>
      <c r="O21" t="s">
        <v>2151</v>
      </c>
      <c r="P21" t="s">
        <v>2431</v>
      </c>
      <c r="Q21">
        <v>1428052</v>
      </c>
      <c r="R21" t="s">
        <v>2258</v>
      </c>
      <c r="S21" t="s">
        <v>84</v>
      </c>
      <c r="T21" t="s">
        <v>2152</v>
      </c>
      <c r="U21" t="s">
        <v>2484</v>
      </c>
      <c r="V21" t="b">
        <v>1</v>
      </c>
      <c r="W21" t="s">
        <v>1978</v>
      </c>
      <c r="X21" t="b">
        <v>0</v>
      </c>
      <c r="Y21" t="s">
        <v>2022</v>
      </c>
      <c r="Z21" t="s">
        <v>831</v>
      </c>
      <c r="AA21" t="s">
        <v>192</v>
      </c>
      <c r="AB21" t="s">
        <v>192</v>
      </c>
    </row>
    <row r="22" spans="1:28" x14ac:dyDescent="0.3">
      <c r="A22" t="s">
        <v>918</v>
      </c>
      <c r="B22" t="s">
        <v>106</v>
      </c>
      <c r="C22" t="s">
        <v>2853</v>
      </c>
      <c r="D22" t="s">
        <v>44</v>
      </c>
      <c r="E22" s="1">
        <v>46055</v>
      </c>
      <c r="F22">
        <v>36</v>
      </c>
      <c r="G22">
        <v>1</v>
      </c>
      <c r="H22">
        <v>46</v>
      </c>
      <c r="I22">
        <v>4</v>
      </c>
      <c r="J22" t="s">
        <v>1947</v>
      </c>
      <c r="K22" t="s">
        <v>2249</v>
      </c>
      <c r="L22" t="s">
        <v>2771</v>
      </c>
      <c r="M22" s="3" t="str">
        <f>HYPERLINK("https://ovidsp.ovid.com/ovidweb.cgi?T=JS&amp;NEWS=n&amp;CSC=Y&amp;PAGE=toc&amp;D=yrovft&amp;AN=00000433-000000000-00000","https://ovidsp.ovid.com/ovidweb.cgi?T=JS&amp;NEWS=n&amp;CSC=Y&amp;PAGE=toc&amp;D=yrovft&amp;AN=00000433-000000000-00000")</f>
        <v>https://ovidsp.ovid.com/ovidweb.cgi?T=JS&amp;NEWS=n&amp;CSC=Y&amp;PAGE=toc&amp;D=yrovft&amp;AN=00000433-000000000-00000</v>
      </c>
      <c r="N22" t="s">
        <v>37</v>
      </c>
      <c r="O22" t="s">
        <v>2151</v>
      </c>
      <c r="P22" t="s">
        <v>2431</v>
      </c>
      <c r="Q22">
        <v>1428052</v>
      </c>
      <c r="R22" t="s">
        <v>2560</v>
      </c>
      <c r="S22" t="s">
        <v>84</v>
      </c>
      <c r="T22" t="s">
        <v>2152</v>
      </c>
      <c r="U22" t="s">
        <v>267</v>
      </c>
      <c r="V22" t="b">
        <v>1</v>
      </c>
      <c r="W22" t="s">
        <v>2631</v>
      </c>
      <c r="X22" t="b">
        <v>0</v>
      </c>
      <c r="Y22" t="s">
        <v>2022</v>
      </c>
      <c r="Z22" t="s">
        <v>831</v>
      </c>
      <c r="AA22" t="s">
        <v>192</v>
      </c>
      <c r="AB22" t="s">
        <v>192</v>
      </c>
    </row>
    <row r="23" spans="1:28" x14ac:dyDescent="0.3">
      <c r="A23" t="s">
        <v>592</v>
      </c>
      <c r="B23" t="s">
        <v>2592</v>
      </c>
      <c r="C23" t="s">
        <v>2774</v>
      </c>
      <c r="D23" t="s">
        <v>44</v>
      </c>
      <c r="E23" s="1">
        <v>46055</v>
      </c>
      <c r="F23">
        <v>110</v>
      </c>
      <c r="G23">
        <v>1</v>
      </c>
      <c r="H23">
        <v>121</v>
      </c>
      <c r="I23">
        <v>1</v>
      </c>
      <c r="J23" t="s">
        <v>672</v>
      </c>
      <c r="K23" t="s">
        <v>1959</v>
      </c>
      <c r="L23" t="s">
        <v>2919</v>
      </c>
      <c r="M23" s="3" t="str">
        <f>HYPERLINK("https://ovidsp.ovid.com/ovidweb.cgi?T=JS&amp;NEWS=n&amp;CSC=Y&amp;PAGE=toc&amp;D=yrovft&amp;AN=00000434-000000000-00000","https://ovidsp.ovid.com/ovidweb.cgi?T=JS&amp;NEWS=n&amp;CSC=Y&amp;PAGE=toc&amp;D=yrovft&amp;AN=00000434-000000000-00000")</f>
        <v>https://ovidsp.ovid.com/ovidweb.cgi?T=JS&amp;NEWS=n&amp;CSC=Y&amp;PAGE=toc&amp;D=yrovft&amp;AN=00000434-000000000-00000</v>
      </c>
      <c r="N23" t="s">
        <v>3007</v>
      </c>
      <c r="O23" t="s">
        <v>2151</v>
      </c>
      <c r="P23" t="s">
        <v>2431</v>
      </c>
      <c r="Q23">
        <v>1428052</v>
      </c>
      <c r="R23" t="s">
        <v>1535</v>
      </c>
      <c r="S23" t="s">
        <v>84</v>
      </c>
      <c r="T23" t="s">
        <v>2152</v>
      </c>
      <c r="U23" t="s">
        <v>733</v>
      </c>
      <c r="V23" t="b">
        <v>1</v>
      </c>
      <c r="W23" t="s">
        <v>1077</v>
      </c>
      <c r="X23" t="b">
        <v>0</v>
      </c>
      <c r="Y23" t="s">
        <v>2022</v>
      </c>
      <c r="Z23" t="s">
        <v>1351</v>
      </c>
      <c r="AA23" t="s">
        <v>192</v>
      </c>
      <c r="AB23" t="s">
        <v>192</v>
      </c>
    </row>
    <row r="24" spans="1:28" x14ac:dyDescent="0.3">
      <c r="A24" t="s">
        <v>1813</v>
      </c>
      <c r="B24" t="s">
        <v>2022</v>
      </c>
      <c r="C24" t="s">
        <v>948</v>
      </c>
      <c r="D24" t="s">
        <v>44</v>
      </c>
      <c r="E24" s="1">
        <v>46055</v>
      </c>
      <c r="F24">
        <v>30</v>
      </c>
      <c r="G24">
        <v>1</v>
      </c>
      <c r="H24">
        <v>41</v>
      </c>
      <c r="I24">
        <v>1</v>
      </c>
      <c r="J24" t="s">
        <v>672</v>
      </c>
      <c r="K24" t="s">
        <v>1959</v>
      </c>
      <c r="L24" t="s">
        <v>2919</v>
      </c>
      <c r="M24" s="3" t="str">
        <f>HYPERLINK("https://ovidsp.ovid.com/ovidweb.cgi?T=JS&amp;NEWS=n&amp;CSC=Y&amp;PAGE=toc&amp;D=yrovft&amp;AN=00008488-000000000-00000","https://ovidsp.ovid.com/ovidweb.cgi?T=JS&amp;NEWS=n&amp;CSC=Y&amp;PAGE=toc&amp;D=yrovft&amp;AN=00008488-000000000-00000")</f>
        <v>https://ovidsp.ovid.com/ovidweb.cgi?T=JS&amp;NEWS=n&amp;CSC=Y&amp;PAGE=toc&amp;D=yrovft&amp;AN=00008488-000000000-00000</v>
      </c>
      <c r="N24" t="s">
        <v>244</v>
      </c>
      <c r="O24" t="s">
        <v>2151</v>
      </c>
      <c r="P24" t="s">
        <v>2431</v>
      </c>
      <c r="Q24">
        <v>1428052</v>
      </c>
      <c r="R24" t="s">
        <v>1539</v>
      </c>
      <c r="S24" t="s">
        <v>84</v>
      </c>
      <c r="T24" t="s">
        <v>2152</v>
      </c>
      <c r="U24" t="s">
        <v>1659</v>
      </c>
      <c r="V24" t="b">
        <v>1</v>
      </c>
      <c r="W24" t="s">
        <v>881</v>
      </c>
      <c r="X24" t="b">
        <v>0</v>
      </c>
      <c r="Y24" t="s">
        <v>2022</v>
      </c>
      <c r="Z24" t="s">
        <v>3062</v>
      </c>
      <c r="AA24" t="s">
        <v>192</v>
      </c>
      <c r="AB24" t="s">
        <v>192</v>
      </c>
    </row>
    <row r="25" spans="1:28" x14ac:dyDescent="0.3">
      <c r="A25" t="s">
        <v>2628</v>
      </c>
      <c r="B25" t="s">
        <v>426</v>
      </c>
      <c r="C25" t="s">
        <v>1069</v>
      </c>
      <c r="D25" t="s">
        <v>44</v>
      </c>
      <c r="E25" s="1">
        <v>46055</v>
      </c>
      <c r="F25">
        <v>94</v>
      </c>
      <c r="G25">
        <v>1</v>
      </c>
      <c r="H25">
        <v>105</v>
      </c>
      <c r="I25">
        <v>2</v>
      </c>
      <c r="J25" t="s">
        <v>2585</v>
      </c>
      <c r="K25" t="s">
        <v>1959</v>
      </c>
      <c r="L25" t="s">
        <v>712</v>
      </c>
      <c r="M25" s="3" t="str">
        <f>HYPERLINK("https://ovidsp.ovid.com/ovidweb.cgi?T=JS&amp;NEWS=n&amp;CSC=Y&amp;PAGE=toc&amp;D=yrovft&amp;AN=00002060-000000000-00000","https://ovidsp.ovid.com/ovidweb.cgi?T=JS&amp;NEWS=n&amp;CSC=Y&amp;PAGE=toc&amp;D=yrovft&amp;AN=00002060-000000000-00000")</f>
        <v>https://ovidsp.ovid.com/ovidweb.cgi?T=JS&amp;NEWS=n&amp;CSC=Y&amp;PAGE=toc&amp;D=yrovft&amp;AN=00002060-000000000-00000</v>
      </c>
      <c r="N25" t="s">
        <v>1845</v>
      </c>
      <c r="O25" t="s">
        <v>2151</v>
      </c>
      <c r="P25" t="s">
        <v>2431</v>
      </c>
      <c r="Q25">
        <v>1428052</v>
      </c>
      <c r="R25" t="s">
        <v>304</v>
      </c>
      <c r="S25" t="s">
        <v>84</v>
      </c>
      <c r="T25" t="s">
        <v>2152</v>
      </c>
      <c r="U25" t="s">
        <v>3028</v>
      </c>
      <c r="V25" t="b">
        <v>1</v>
      </c>
      <c r="W25" t="s">
        <v>1041</v>
      </c>
      <c r="X25" t="b">
        <v>0</v>
      </c>
      <c r="Y25" t="s">
        <v>2022</v>
      </c>
      <c r="Z25" t="s">
        <v>831</v>
      </c>
      <c r="AA25" t="s">
        <v>192</v>
      </c>
      <c r="AB25" t="s">
        <v>192</v>
      </c>
    </row>
    <row r="26" spans="1:28" x14ac:dyDescent="0.3">
      <c r="A26" t="s">
        <v>706</v>
      </c>
      <c r="B26" t="s">
        <v>129</v>
      </c>
      <c r="C26" t="s">
        <v>572</v>
      </c>
      <c r="D26" t="s">
        <v>44</v>
      </c>
      <c r="E26" s="1">
        <v>46055</v>
      </c>
      <c r="F26">
        <v>39</v>
      </c>
      <c r="G26">
        <v>1</v>
      </c>
      <c r="H26">
        <v>50</v>
      </c>
      <c r="I26">
        <v>2</v>
      </c>
      <c r="J26" t="s">
        <v>2585</v>
      </c>
      <c r="K26" t="s">
        <v>1959</v>
      </c>
      <c r="L26" t="s">
        <v>712</v>
      </c>
      <c r="M26" s="3" t="str">
        <f>HYPERLINK("https://ovidsp.ovid.com/ovidweb.cgi?T=JS&amp;NEWS=n&amp;CSC=Y&amp;PAGE=toc&amp;D=yrovft&amp;AN=00000478-000000000-00000","https://ovidsp.ovid.com/ovidweb.cgi?T=JS&amp;NEWS=n&amp;CSC=Y&amp;PAGE=toc&amp;D=yrovft&amp;AN=00000478-000000000-00000")</f>
        <v>https://ovidsp.ovid.com/ovidweb.cgi?T=JS&amp;NEWS=n&amp;CSC=Y&amp;PAGE=toc&amp;D=yrovft&amp;AN=00000478-000000000-00000</v>
      </c>
      <c r="N26" t="s">
        <v>824</v>
      </c>
      <c r="O26" t="s">
        <v>2151</v>
      </c>
      <c r="P26" t="s">
        <v>2431</v>
      </c>
      <c r="Q26">
        <v>1428052</v>
      </c>
      <c r="R26" t="s">
        <v>1196</v>
      </c>
      <c r="S26" t="s">
        <v>84</v>
      </c>
      <c r="T26" t="s">
        <v>2152</v>
      </c>
      <c r="U26" t="s">
        <v>758</v>
      </c>
      <c r="V26" t="b">
        <v>1</v>
      </c>
      <c r="W26" t="s">
        <v>378</v>
      </c>
      <c r="X26" t="b">
        <v>0</v>
      </c>
      <c r="Y26" t="s">
        <v>2022</v>
      </c>
      <c r="Z26" t="s">
        <v>2196</v>
      </c>
      <c r="AA26" t="s">
        <v>192</v>
      </c>
      <c r="AB26" t="s">
        <v>192</v>
      </c>
    </row>
    <row r="27" spans="1:28" x14ac:dyDescent="0.3">
      <c r="A27" t="s">
        <v>1573</v>
      </c>
      <c r="B27" t="s">
        <v>2022</v>
      </c>
      <c r="C27" t="s">
        <v>451</v>
      </c>
      <c r="D27" t="s">
        <v>44</v>
      </c>
      <c r="E27" s="1">
        <v>46055</v>
      </c>
      <c r="F27">
        <v>22</v>
      </c>
      <c r="G27">
        <v>1</v>
      </c>
      <c r="H27">
        <v>33</v>
      </c>
      <c r="I27">
        <v>1</v>
      </c>
      <c r="J27" t="s">
        <v>672</v>
      </c>
      <c r="K27" t="s">
        <v>1959</v>
      </c>
      <c r="L27" t="s">
        <v>2919</v>
      </c>
      <c r="M27" s="3" t="str">
        <f>HYPERLINK("https://ovidsp.ovid.com/ovidweb.cgi?T=JS&amp;NEWS=n&amp;CSC=Y&amp;PAGE=toc&amp;D=yrovft&amp;AN=00045391-000000000-00000","https://ovidsp.ovid.com/ovidweb.cgi?T=JS&amp;NEWS=n&amp;CSC=Y&amp;PAGE=toc&amp;D=yrovft&amp;AN=00045391-000000000-00000")</f>
        <v>https://ovidsp.ovid.com/ovidweb.cgi?T=JS&amp;NEWS=n&amp;CSC=Y&amp;PAGE=toc&amp;D=yrovft&amp;AN=00045391-000000000-00000</v>
      </c>
      <c r="N27" t="s">
        <v>2512</v>
      </c>
      <c r="O27" t="s">
        <v>2151</v>
      </c>
      <c r="P27" t="s">
        <v>2431</v>
      </c>
      <c r="Q27">
        <v>1428052</v>
      </c>
      <c r="R27" t="s">
        <v>168</v>
      </c>
      <c r="S27" t="s">
        <v>84</v>
      </c>
      <c r="T27" t="s">
        <v>2152</v>
      </c>
      <c r="U27" t="s">
        <v>2092</v>
      </c>
      <c r="V27" t="b">
        <v>1</v>
      </c>
      <c r="W27" t="s">
        <v>1019</v>
      </c>
      <c r="X27" t="b">
        <v>0</v>
      </c>
      <c r="Y27" t="s">
        <v>2022</v>
      </c>
      <c r="Z27" t="s">
        <v>1128</v>
      </c>
      <c r="AA27" t="s">
        <v>192</v>
      </c>
      <c r="AB27" t="s">
        <v>192</v>
      </c>
    </row>
    <row r="28" spans="1:28" x14ac:dyDescent="0.3">
      <c r="A28" t="s">
        <v>195</v>
      </c>
      <c r="B28" t="s">
        <v>2798</v>
      </c>
      <c r="C28" t="s">
        <v>2338</v>
      </c>
      <c r="D28" t="s">
        <v>44</v>
      </c>
      <c r="E28" s="1">
        <v>46055</v>
      </c>
      <c r="F28">
        <v>120</v>
      </c>
      <c r="G28">
        <v>1</v>
      </c>
      <c r="H28">
        <v>142</v>
      </c>
      <c r="I28">
        <v>2</v>
      </c>
      <c r="J28" t="s">
        <v>2585</v>
      </c>
      <c r="K28" t="s">
        <v>1959</v>
      </c>
      <c r="L28" t="s">
        <v>712</v>
      </c>
      <c r="M28" s="3" t="str">
        <f>HYPERLINK("https://ovidsp.ovid.com/ovidweb.cgi?T=JS&amp;NEWS=n&amp;CSC=Y&amp;PAGE=toc&amp;D=yrovft&amp;AN=00000539-000000000-00000","https://ovidsp.ovid.com/ovidweb.cgi?T=JS&amp;NEWS=n&amp;CSC=Y&amp;PAGE=toc&amp;D=yrovft&amp;AN=00000539-000000000-00000")</f>
        <v>https://ovidsp.ovid.com/ovidweb.cgi?T=JS&amp;NEWS=n&amp;CSC=Y&amp;PAGE=toc&amp;D=yrovft&amp;AN=00000539-000000000-00000</v>
      </c>
      <c r="N28" t="s">
        <v>531</v>
      </c>
      <c r="O28" t="s">
        <v>2151</v>
      </c>
      <c r="P28" t="s">
        <v>2431</v>
      </c>
      <c r="Q28">
        <v>1428052</v>
      </c>
      <c r="R28" t="s">
        <v>1116</v>
      </c>
      <c r="S28" t="s">
        <v>84</v>
      </c>
      <c r="T28" t="s">
        <v>2152</v>
      </c>
      <c r="U28" t="s">
        <v>1932</v>
      </c>
      <c r="V28" t="b">
        <v>1</v>
      </c>
      <c r="W28" t="s">
        <v>2872</v>
      </c>
      <c r="X28" t="b">
        <v>0</v>
      </c>
      <c r="Y28" t="s">
        <v>2022</v>
      </c>
      <c r="Z28" t="s">
        <v>2944</v>
      </c>
      <c r="AA28" t="s">
        <v>192</v>
      </c>
      <c r="AB28" t="s">
        <v>192</v>
      </c>
    </row>
    <row r="29" spans="1:28" x14ac:dyDescent="0.3">
      <c r="A29" t="s">
        <v>1770</v>
      </c>
      <c r="B29" t="s">
        <v>1532</v>
      </c>
      <c r="C29" t="s">
        <v>2337</v>
      </c>
      <c r="D29" t="s">
        <v>44</v>
      </c>
      <c r="E29" s="1">
        <v>46055</v>
      </c>
      <c r="F29">
        <v>122</v>
      </c>
      <c r="G29">
        <v>2</v>
      </c>
      <c r="H29">
        <v>144</v>
      </c>
      <c r="I29">
        <v>2</v>
      </c>
      <c r="J29" t="s">
        <v>1878</v>
      </c>
      <c r="K29" t="s">
        <v>1525</v>
      </c>
      <c r="L29" t="s">
        <v>712</v>
      </c>
      <c r="M29" s="3" t="str">
        <f>HYPERLINK("https://ovidsp.ovid.com/ovidweb.cgi?T=JS&amp;NEWS=n&amp;CSC=Y&amp;PAGE=toc&amp;D=yrovft&amp;AN=00000542-000000000-00000","https://ovidsp.ovid.com/ovidweb.cgi?T=JS&amp;NEWS=n&amp;CSC=Y&amp;PAGE=toc&amp;D=yrovft&amp;AN=00000542-000000000-00000")</f>
        <v>https://ovidsp.ovid.com/ovidweb.cgi?T=JS&amp;NEWS=n&amp;CSC=Y&amp;PAGE=toc&amp;D=yrovft&amp;AN=00000542-000000000-00000</v>
      </c>
      <c r="N29" t="s">
        <v>3142</v>
      </c>
      <c r="O29" t="s">
        <v>2151</v>
      </c>
      <c r="P29" t="s">
        <v>2431</v>
      </c>
      <c r="Q29">
        <v>1428052</v>
      </c>
      <c r="R29" t="s">
        <v>1917</v>
      </c>
      <c r="S29" t="s">
        <v>84</v>
      </c>
      <c r="T29" t="s">
        <v>2152</v>
      </c>
      <c r="U29" t="s">
        <v>1662</v>
      </c>
      <c r="V29" t="b">
        <v>1</v>
      </c>
      <c r="W29" t="s">
        <v>1171</v>
      </c>
      <c r="X29" t="b">
        <v>0</v>
      </c>
      <c r="Y29" t="s">
        <v>2022</v>
      </c>
      <c r="Z29" t="s">
        <v>118</v>
      </c>
      <c r="AA29" t="s">
        <v>192</v>
      </c>
      <c r="AB29" t="s">
        <v>192</v>
      </c>
    </row>
    <row r="30" spans="1:28" x14ac:dyDescent="0.3">
      <c r="A30" t="s">
        <v>3014</v>
      </c>
      <c r="B30" t="s">
        <v>2022</v>
      </c>
      <c r="C30" t="s">
        <v>2635</v>
      </c>
      <c r="D30" t="s">
        <v>44</v>
      </c>
      <c r="E30" s="1">
        <v>46055</v>
      </c>
      <c r="F30">
        <v>1</v>
      </c>
      <c r="G30">
        <v>1</v>
      </c>
      <c r="H30">
        <v>1</v>
      </c>
      <c r="I30">
        <v>1</v>
      </c>
      <c r="J30" t="s">
        <v>540</v>
      </c>
      <c r="K30" t="s">
        <v>2919</v>
      </c>
      <c r="L30" t="s">
        <v>2919</v>
      </c>
      <c r="M30" s="3" t="str">
        <f>HYPERLINK("https://ovidsp.ovid.com/ovidweb.cgi?T=JS&amp;NEWS=n&amp;CSC=Y&amp;PAGE=toc&amp;D=yrovft&amp;AN=02277013-000000000-00000","https://ovidsp.ovid.com/ovidweb.cgi?T=JS&amp;NEWS=n&amp;CSC=Y&amp;PAGE=toc&amp;D=yrovft&amp;AN=02277013-000000000-00000")</f>
        <v>https://ovidsp.ovid.com/ovidweb.cgi?T=JS&amp;NEWS=n&amp;CSC=Y&amp;PAGE=toc&amp;D=yrovft&amp;AN=02277013-000000000-00000</v>
      </c>
      <c r="N30" t="s">
        <v>2022</v>
      </c>
      <c r="O30" t="s">
        <v>2151</v>
      </c>
      <c r="P30" t="s">
        <v>2431</v>
      </c>
      <c r="Q30">
        <v>1428052</v>
      </c>
      <c r="R30" t="s">
        <v>1883</v>
      </c>
      <c r="S30" t="s">
        <v>84</v>
      </c>
      <c r="T30" t="s">
        <v>2152</v>
      </c>
      <c r="U30" t="s">
        <v>339</v>
      </c>
      <c r="V30" t="b">
        <v>0</v>
      </c>
      <c r="W30" t="s">
        <v>2022</v>
      </c>
      <c r="X30" t="b">
        <v>0</v>
      </c>
      <c r="Y30" t="s">
        <v>2022</v>
      </c>
      <c r="Z30" t="s">
        <v>1351</v>
      </c>
      <c r="AA30" t="s">
        <v>192</v>
      </c>
      <c r="AB30" t="s">
        <v>192</v>
      </c>
    </row>
    <row r="31" spans="1:28" x14ac:dyDescent="0.3">
      <c r="A31" t="s">
        <v>1779</v>
      </c>
      <c r="B31" t="s">
        <v>2022</v>
      </c>
      <c r="C31" t="s">
        <v>3122</v>
      </c>
      <c r="D31" t="s">
        <v>44</v>
      </c>
      <c r="E31" s="1">
        <v>46055</v>
      </c>
      <c r="F31">
        <v>1</v>
      </c>
      <c r="G31">
        <v>0</v>
      </c>
      <c r="H31">
        <v>88</v>
      </c>
      <c r="I31">
        <v>1</v>
      </c>
      <c r="J31" t="s">
        <v>2664</v>
      </c>
      <c r="K31" t="s">
        <v>2038</v>
      </c>
      <c r="L31" t="s">
        <v>2919</v>
      </c>
      <c r="M31" s="3" t="str">
        <f>HYPERLINK("https://ovidsp.ovid.com/ovidweb.cgi?T=JS&amp;NEWS=n&amp;CSC=Y&amp;PAGE=toc&amp;D=yrovft&amp;AN=01845215-000000000-00000","https://ovidsp.ovid.com/ovidweb.cgi?T=JS&amp;NEWS=n&amp;CSC=Y&amp;PAGE=toc&amp;D=yrovft&amp;AN=01845215-000000000-00000")</f>
        <v>https://ovidsp.ovid.com/ovidweb.cgi?T=JS&amp;NEWS=n&amp;CSC=Y&amp;PAGE=toc&amp;D=yrovft&amp;AN=01845215-000000000-00000</v>
      </c>
      <c r="N31" t="s">
        <v>2141</v>
      </c>
      <c r="O31" t="s">
        <v>2151</v>
      </c>
      <c r="P31" t="s">
        <v>2431</v>
      </c>
      <c r="Q31">
        <v>1428052</v>
      </c>
      <c r="R31" t="s">
        <v>1117</v>
      </c>
      <c r="S31" t="s">
        <v>84</v>
      </c>
      <c r="T31" t="s">
        <v>2152</v>
      </c>
      <c r="U31" t="s">
        <v>2221</v>
      </c>
      <c r="V31" t="b">
        <v>1</v>
      </c>
      <c r="W31" t="s">
        <v>2343</v>
      </c>
      <c r="X31" t="b">
        <v>0</v>
      </c>
      <c r="Y31" t="s">
        <v>2022</v>
      </c>
      <c r="Z31" t="s">
        <v>2196</v>
      </c>
      <c r="AA31" t="s">
        <v>192</v>
      </c>
      <c r="AB31" t="s">
        <v>192</v>
      </c>
    </row>
    <row r="32" spans="1:28" x14ac:dyDescent="0.3">
      <c r="A32" t="s">
        <v>620</v>
      </c>
      <c r="B32" t="s">
        <v>969</v>
      </c>
      <c r="C32" t="s">
        <v>1928</v>
      </c>
      <c r="D32" t="s">
        <v>44</v>
      </c>
      <c r="E32" s="1">
        <v>46055</v>
      </c>
      <c r="F32">
        <v>74</v>
      </c>
      <c r="G32">
        <v>1</v>
      </c>
      <c r="H32">
        <v>96</v>
      </c>
      <c r="I32">
        <v>2</v>
      </c>
      <c r="J32" t="s">
        <v>2585</v>
      </c>
      <c r="K32" t="s">
        <v>1959</v>
      </c>
      <c r="L32" t="s">
        <v>712</v>
      </c>
      <c r="M32" s="3" t="str">
        <f>HYPERLINK("https://ovidsp.ovid.com/ovidweb.cgi?T=JS&amp;NEWS=n&amp;CSC=Y&amp;PAGE=toc&amp;D=yrovft&amp;AN=00000637-000000000-00000","https://ovidsp.ovid.com/ovidweb.cgi?T=JS&amp;NEWS=n&amp;CSC=Y&amp;PAGE=toc&amp;D=yrovft&amp;AN=00000637-000000000-00000")</f>
        <v>https://ovidsp.ovid.com/ovidweb.cgi?T=JS&amp;NEWS=n&amp;CSC=Y&amp;PAGE=toc&amp;D=yrovft&amp;AN=00000637-000000000-00000</v>
      </c>
      <c r="N32" t="s">
        <v>1513</v>
      </c>
      <c r="O32" t="s">
        <v>2151</v>
      </c>
      <c r="P32" t="s">
        <v>2431</v>
      </c>
      <c r="Q32">
        <v>1428052</v>
      </c>
      <c r="R32" t="s">
        <v>1107</v>
      </c>
      <c r="S32" t="s">
        <v>84</v>
      </c>
      <c r="T32" t="s">
        <v>2152</v>
      </c>
      <c r="U32" t="s">
        <v>1291</v>
      </c>
      <c r="V32" t="b">
        <v>1</v>
      </c>
      <c r="W32" t="s">
        <v>40</v>
      </c>
      <c r="X32" t="b">
        <v>0</v>
      </c>
      <c r="Y32" t="s">
        <v>2022</v>
      </c>
      <c r="Z32" t="s">
        <v>831</v>
      </c>
      <c r="AA32" t="s">
        <v>192</v>
      </c>
      <c r="AB32" t="s">
        <v>192</v>
      </c>
    </row>
    <row r="33" spans="1:28" x14ac:dyDescent="0.3">
      <c r="A33" t="s">
        <v>947</v>
      </c>
      <c r="B33" t="s">
        <v>2128</v>
      </c>
      <c r="C33" t="s">
        <v>1330</v>
      </c>
      <c r="D33" t="s">
        <v>44</v>
      </c>
      <c r="E33" s="1">
        <v>46055</v>
      </c>
      <c r="F33">
        <v>261</v>
      </c>
      <c r="G33">
        <v>2</v>
      </c>
      <c r="H33">
        <v>283</v>
      </c>
      <c r="I33">
        <v>2</v>
      </c>
      <c r="J33" t="s">
        <v>1878</v>
      </c>
      <c r="K33" t="s">
        <v>1525</v>
      </c>
      <c r="L33" t="s">
        <v>712</v>
      </c>
      <c r="M33" s="3" t="str">
        <f>HYPERLINK("https://ovidsp.ovid.com/ovidweb.cgi?T=JS&amp;NEWS=n&amp;CSC=Y&amp;PAGE=toc&amp;D=yrovft&amp;AN=00000658-000000000-00000","https://ovidsp.ovid.com/ovidweb.cgi?T=JS&amp;NEWS=n&amp;CSC=Y&amp;PAGE=toc&amp;D=yrovft&amp;AN=00000658-000000000-00000")</f>
        <v>https://ovidsp.ovid.com/ovidweb.cgi?T=JS&amp;NEWS=n&amp;CSC=Y&amp;PAGE=toc&amp;D=yrovft&amp;AN=00000658-000000000-00000</v>
      </c>
      <c r="N33" t="s">
        <v>517</v>
      </c>
      <c r="O33" t="s">
        <v>2151</v>
      </c>
      <c r="P33" t="s">
        <v>2431</v>
      </c>
      <c r="Q33">
        <v>1428052</v>
      </c>
      <c r="R33" t="s">
        <v>50</v>
      </c>
      <c r="S33" t="s">
        <v>84</v>
      </c>
      <c r="T33" t="s">
        <v>2152</v>
      </c>
      <c r="U33" t="s">
        <v>2346</v>
      </c>
      <c r="V33" t="b">
        <v>1</v>
      </c>
      <c r="W33" t="s">
        <v>179</v>
      </c>
      <c r="X33" t="b">
        <v>0</v>
      </c>
      <c r="Y33" t="s">
        <v>2022</v>
      </c>
      <c r="Z33" t="s">
        <v>831</v>
      </c>
      <c r="AA33" t="s">
        <v>192</v>
      </c>
      <c r="AB33" t="s">
        <v>192</v>
      </c>
    </row>
    <row r="34" spans="1:28" x14ac:dyDescent="0.3">
      <c r="A34" t="s">
        <v>811</v>
      </c>
      <c r="B34" t="s">
        <v>2022</v>
      </c>
      <c r="C34" t="s">
        <v>3117</v>
      </c>
      <c r="D34" t="s">
        <v>44</v>
      </c>
      <c r="E34" s="1">
        <v>46055</v>
      </c>
      <c r="F34">
        <v>1</v>
      </c>
      <c r="G34">
        <v>1</v>
      </c>
      <c r="H34">
        <v>7</v>
      </c>
      <c r="I34">
        <v>1</v>
      </c>
      <c r="J34" t="s">
        <v>2686</v>
      </c>
      <c r="K34" t="s">
        <v>1752</v>
      </c>
      <c r="L34" t="s">
        <v>2441</v>
      </c>
      <c r="M34" s="3" t="str">
        <f>HYPERLINK("https://ovidsp.ovid.com/ovidweb.cgi?T=JS&amp;NEWS=n&amp;CSC=Y&amp;PAGE=toc&amp;D=yrovft&amp;AN=02196409-000000000-00000","https://ovidsp.ovid.com/ovidweb.cgi?T=JS&amp;NEWS=n&amp;CSC=Y&amp;PAGE=toc&amp;D=yrovft&amp;AN=02196409-000000000-00000")</f>
        <v>https://ovidsp.ovid.com/ovidweb.cgi?T=JS&amp;NEWS=n&amp;CSC=Y&amp;PAGE=toc&amp;D=yrovft&amp;AN=02196409-000000000-00000</v>
      </c>
      <c r="N34" t="s">
        <v>874</v>
      </c>
      <c r="O34" t="s">
        <v>2151</v>
      </c>
      <c r="P34" t="s">
        <v>2431</v>
      </c>
      <c r="Q34">
        <v>1428052</v>
      </c>
      <c r="R34" t="s">
        <v>761</v>
      </c>
      <c r="S34" t="s">
        <v>84</v>
      </c>
      <c r="T34" t="s">
        <v>2152</v>
      </c>
      <c r="U34" t="s">
        <v>1843</v>
      </c>
      <c r="V34" t="b">
        <v>0</v>
      </c>
      <c r="W34" t="s">
        <v>2022</v>
      </c>
      <c r="X34" t="b">
        <v>0</v>
      </c>
      <c r="Y34" t="s">
        <v>2022</v>
      </c>
      <c r="Z34" t="s">
        <v>2196</v>
      </c>
      <c r="AA34" t="s">
        <v>192</v>
      </c>
      <c r="AB34" t="s">
        <v>192</v>
      </c>
    </row>
    <row r="35" spans="1:28" x14ac:dyDescent="0.3">
      <c r="A35" t="s">
        <v>1393</v>
      </c>
      <c r="B35" t="s">
        <v>721</v>
      </c>
      <c r="C35" t="s">
        <v>2386</v>
      </c>
      <c r="D35" t="s">
        <v>44</v>
      </c>
      <c r="E35" s="1">
        <v>46055</v>
      </c>
      <c r="F35">
        <v>26</v>
      </c>
      <c r="G35">
        <v>1</v>
      </c>
      <c r="H35">
        <v>37</v>
      </c>
      <c r="I35">
        <v>2</v>
      </c>
      <c r="J35" t="s">
        <v>2585</v>
      </c>
      <c r="K35" t="s">
        <v>1959</v>
      </c>
      <c r="L35" t="s">
        <v>712</v>
      </c>
      <c r="M35" s="3" t="str">
        <f>HYPERLINK("https://ovidsp.ovid.com/ovidweb.cgi?T=JS&amp;NEWS=n&amp;CSC=Y&amp;PAGE=toc&amp;D=yrovft&amp;AN=00001813-000000000-00000","https://ovidsp.ovid.com/ovidweb.cgi?T=JS&amp;NEWS=n&amp;CSC=Y&amp;PAGE=toc&amp;D=yrovft&amp;AN=00001813-000000000-00000")</f>
        <v>https://ovidsp.ovid.com/ovidweb.cgi?T=JS&amp;NEWS=n&amp;CSC=Y&amp;PAGE=toc&amp;D=yrovft&amp;AN=00001813-000000000-00000</v>
      </c>
      <c r="N35" t="s">
        <v>1322</v>
      </c>
      <c r="O35" t="s">
        <v>2151</v>
      </c>
      <c r="P35" t="s">
        <v>2431</v>
      </c>
      <c r="Q35">
        <v>1428052</v>
      </c>
      <c r="R35" t="s">
        <v>497</v>
      </c>
      <c r="S35" t="s">
        <v>84</v>
      </c>
      <c r="T35" t="s">
        <v>2152</v>
      </c>
      <c r="U35" t="s">
        <v>3027</v>
      </c>
      <c r="V35" t="b">
        <v>1</v>
      </c>
      <c r="W35" t="s">
        <v>2701</v>
      </c>
      <c r="X35" t="b">
        <v>0</v>
      </c>
      <c r="Y35" t="s">
        <v>2022</v>
      </c>
      <c r="Z35" t="s">
        <v>2934</v>
      </c>
      <c r="AA35" t="s">
        <v>192</v>
      </c>
      <c r="AB35" t="s">
        <v>192</v>
      </c>
    </row>
    <row r="36" spans="1:28" x14ac:dyDescent="0.3">
      <c r="A36" t="s">
        <v>783</v>
      </c>
      <c r="B36" t="s">
        <v>1424</v>
      </c>
      <c r="C36" t="s">
        <v>2047</v>
      </c>
      <c r="D36" t="s">
        <v>44</v>
      </c>
      <c r="E36" s="1">
        <v>46055</v>
      </c>
      <c r="F36">
        <v>23</v>
      </c>
      <c r="G36">
        <v>1</v>
      </c>
      <c r="H36">
        <v>34</v>
      </c>
      <c r="I36">
        <v>1</v>
      </c>
      <c r="J36" t="s">
        <v>672</v>
      </c>
      <c r="K36" t="s">
        <v>1959</v>
      </c>
      <c r="L36" t="s">
        <v>2919</v>
      </c>
      <c r="M36" s="3" t="str">
        <f>HYPERLINK("https://ovidsp.ovid.com/ovidweb.cgi?T=JS&amp;NEWS=n&amp;CSC=Y&amp;PAGE=toc&amp;D=yrovft&amp;AN=00129039-000000000-00000","https://ovidsp.ovid.com/ovidweb.cgi?T=JS&amp;NEWS=n&amp;CSC=Y&amp;PAGE=toc&amp;D=yrovft&amp;AN=00129039-000000000-00000")</f>
        <v>https://ovidsp.ovid.com/ovidweb.cgi?T=JS&amp;NEWS=n&amp;CSC=Y&amp;PAGE=toc&amp;D=yrovft&amp;AN=00129039-000000000-00000</v>
      </c>
      <c r="N36" t="s">
        <v>131</v>
      </c>
      <c r="O36" t="s">
        <v>2151</v>
      </c>
      <c r="P36" t="s">
        <v>2431</v>
      </c>
      <c r="Q36">
        <v>1428052</v>
      </c>
      <c r="R36" t="s">
        <v>766</v>
      </c>
      <c r="S36" t="s">
        <v>84</v>
      </c>
      <c r="T36" t="s">
        <v>2152</v>
      </c>
      <c r="U36" t="s">
        <v>2679</v>
      </c>
      <c r="V36" t="b">
        <v>1</v>
      </c>
      <c r="W36" t="s">
        <v>1782</v>
      </c>
      <c r="X36" t="b">
        <v>0</v>
      </c>
      <c r="Y36" t="s">
        <v>2022</v>
      </c>
      <c r="Z36" t="s">
        <v>2413</v>
      </c>
      <c r="AA36" t="s">
        <v>192</v>
      </c>
      <c r="AB36" t="s">
        <v>192</v>
      </c>
    </row>
    <row r="37" spans="1:28" x14ac:dyDescent="0.3">
      <c r="A37" t="s">
        <v>235</v>
      </c>
      <c r="B37" t="s">
        <v>309</v>
      </c>
      <c r="C37" t="s">
        <v>1425</v>
      </c>
      <c r="D37" t="s">
        <v>44</v>
      </c>
      <c r="E37" s="1">
        <v>46055</v>
      </c>
      <c r="F37">
        <v>35</v>
      </c>
      <c r="G37">
        <v>1</v>
      </c>
      <c r="H37">
        <v>46</v>
      </c>
      <c r="I37">
        <v>2</v>
      </c>
      <c r="J37" t="s">
        <v>2585</v>
      </c>
      <c r="K37" t="s">
        <v>1959</v>
      </c>
      <c r="L37" t="s">
        <v>712</v>
      </c>
      <c r="M37" s="3" t="str">
        <f>HYPERLINK("https://ovidsp.ovid.com/ovidweb.cgi?T=JS&amp;NEWS=n&amp;CSC=Y&amp;PAGE=toc&amp;D=yrovft&amp;AN=00043605-000000000-00000","https://ovidsp.ovid.com/ovidweb.cgi?T=JS&amp;NEWS=n&amp;CSC=Y&amp;PAGE=toc&amp;D=yrovft&amp;AN=00043605-000000000-00000")</f>
        <v>https://ovidsp.ovid.com/ovidweb.cgi?T=JS&amp;NEWS=n&amp;CSC=Y&amp;PAGE=toc&amp;D=yrovft&amp;AN=00043605-000000000-00000</v>
      </c>
      <c r="N37" t="s">
        <v>844</v>
      </c>
      <c r="O37" t="s">
        <v>2151</v>
      </c>
      <c r="P37" t="s">
        <v>2431</v>
      </c>
      <c r="Q37">
        <v>1428052</v>
      </c>
      <c r="R37" t="s">
        <v>152</v>
      </c>
      <c r="S37" t="s">
        <v>84</v>
      </c>
      <c r="T37" t="s">
        <v>2152</v>
      </c>
      <c r="U37" t="s">
        <v>2090</v>
      </c>
      <c r="V37" t="b">
        <v>1</v>
      </c>
      <c r="W37" t="s">
        <v>2120</v>
      </c>
      <c r="X37" t="b">
        <v>0</v>
      </c>
      <c r="Y37" t="s">
        <v>2022</v>
      </c>
      <c r="Z37" t="s">
        <v>1351</v>
      </c>
      <c r="AA37" t="s">
        <v>192</v>
      </c>
      <c r="AB37" t="s">
        <v>192</v>
      </c>
    </row>
    <row r="38" spans="1:28" x14ac:dyDescent="0.3">
      <c r="A38" t="s">
        <v>409</v>
      </c>
      <c r="B38" t="s">
        <v>1376</v>
      </c>
      <c r="C38" t="s">
        <v>1949</v>
      </c>
      <c r="D38" t="s">
        <v>44</v>
      </c>
      <c r="E38" s="1">
        <v>46055</v>
      </c>
      <c r="F38">
        <v>68</v>
      </c>
      <c r="G38">
        <v>1</v>
      </c>
      <c r="H38">
        <v>90</v>
      </c>
      <c r="I38">
        <v>2</v>
      </c>
      <c r="J38" t="s">
        <v>1544</v>
      </c>
      <c r="K38" t="s">
        <v>1613</v>
      </c>
      <c r="L38" t="s">
        <v>712</v>
      </c>
      <c r="M38" s="3" t="str">
        <f>HYPERLINK("https://ovidsp.ovid.com/ovidweb.cgi?T=JS&amp;NEWS=n&amp;CSC=Y&amp;PAGE=toc&amp;D=yrovft&amp;AN=02035738-000000000-00000","https://ovidsp.ovid.com/ovidweb.cgi?T=JS&amp;NEWS=n&amp;CSC=Y&amp;PAGE=toc&amp;D=yrovft&amp;AN=02035738-000000000-00000")</f>
        <v>https://ovidsp.ovid.com/ovidweb.cgi?T=JS&amp;NEWS=n&amp;CSC=Y&amp;PAGE=toc&amp;D=yrovft&amp;AN=02035738-000000000-00000</v>
      </c>
      <c r="N38" t="s">
        <v>1498</v>
      </c>
      <c r="O38" t="s">
        <v>2151</v>
      </c>
      <c r="P38" t="s">
        <v>2431</v>
      </c>
      <c r="Q38">
        <v>1428052</v>
      </c>
      <c r="R38" t="s">
        <v>1161</v>
      </c>
      <c r="S38" t="s">
        <v>84</v>
      </c>
      <c r="T38" t="s">
        <v>2152</v>
      </c>
      <c r="U38" t="s">
        <v>978</v>
      </c>
      <c r="V38" t="b">
        <v>0</v>
      </c>
      <c r="W38" t="s">
        <v>2022</v>
      </c>
      <c r="X38" t="b">
        <v>0</v>
      </c>
      <c r="Y38" t="s">
        <v>2022</v>
      </c>
      <c r="Z38" t="s">
        <v>1351</v>
      </c>
      <c r="AA38" t="s">
        <v>192</v>
      </c>
      <c r="AB38" t="s">
        <v>192</v>
      </c>
    </row>
    <row r="39" spans="1:28" x14ac:dyDescent="0.3">
      <c r="A39" t="s">
        <v>3125</v>
      </c>
      <c r="B39" t="s">
        <v>206</v>
      </c>
      <c r="C39" t="s">
        <v>2041</v>
      </c>
      <c r="D39" t="s">
        <v>44</v>
      </c>
      <c r="E39" s="1">
        <v>46055</v>
      </c>
      <c r="F39">
        <v>1</v>
      </c>
      <c r="G39">
        <v>0</v>
      </c>
      <c r="H39">
        <v>43</v>
      </c>
      <c r="I39">
        <v>1</v>
      </c>
      <c r="J39" t="s">
        <v>1001</v>
      </c>
      <c r="K39" t="s">
        <v>1852</v>
      </c>
      <c r="L39" t="s">
        <v>1959</v>
      </c>
      <c r="M39" s="3" t="str">
        <f>HYPERLINK("https://ovidsp.ovid.com/ovidweb.cgi?T=JS&amp;NEWS=n&amp;CSC=Y&amp;PAGE=toc&amp;D=yrovft&amp;AN=00126869-000000000-00000","https://ovidsp.ovid.com/ovidweb.cgi?T=JS&amp;NEWS=n&amp;CSC=Y&amp;PAGE=toc&amp;D=yrovft&amp;AN=00126869-000000000-00000")</f>
        <v>https://ovidsp.ovid.com/ovidweb.cgi?T=JS&amp;NEWS=n&amp;CSC=Y&amp;PAGE=toc&amp;D=yrovft&amp;AN=00126869-000000000-00000</v>
      </c>
      <c r="N39" t="s">
        <v>2022</v>
      </c>
      <c r="O39" t="s">
        <v>2151</v>
      </c>
      <c r="P39" t="s">
        <v>2431</v>
      </c>
      <c r="Q39">
        <v>1428052</v>
      </c>
      <c r="R39" t="s">
        <v>2851</v>
      </c>
      <c r="S39" t="s">
        <v>84</v>
      </c>
      <c r="T39" t="s">
        <v>2152</v>
      </c>
      <c r="U39" t="s">
        <v>1991</v>
      </c>
      <c r="V39" t="b">
        <v>0</v>
      </c>
      <c r="W39" t="s">
        <v>2022</v>
      </c>
      <c r="X39" t="b">
        <v>0</v>
      </c>
      <c r="Y39" t="s">
        <v>2022</v>
      </c>
      <c r="Z39" t="s">
        <v>2965</v>
      </c>
      <c r="AA39" t="s">
        <v>192</v>
      </c>
      <c r="AB39" t="s">
        <v>192</v>
      </c>
    </row>
    <row r="40" spans="1:28" x14ac:dyDescent="0.3">
      <c r="A40" t="s">
        <v>290</v>
      </c>
      <c r="B40" t="s">
        <v>1963</v>
      </c>
      <c r="C40" t="s">
        <v>176</v>
      </c>
      <c r="D40" t="s">
        <v>44</v>
      </c>
      <c r="E40" s="1">
        <v>46055</v>
      </c>
      <c r="F40">
        <v>61</v>
      </c>
      <c r="G40">
        <v>1</v>
      </c>
      <c r="H40">
        <v>72</v>
      </c>
      <c r="I40">
        <v>2</v>
      </c>
      <c r="J40" t="s">
        <v>2585</v>
      </c>
      <c r="K40" t="s">
        <v>1959</v>
      </c>
      <c r="L40" t="s">
        <v>712</v>
      </c>
      <c r="M40" s="3" t="str">
        <f>HYPERLINK("https://ovidsp.ovid.com/ovidweb.cgi?T=JS&amp;NEWS=n&amp;CSC=Y&amp;PAGE=toc&amp;D=yrovft&amp;AN=00002480-000000000-00000","https://ovidsp.ovid.com/ovidweb.cgi?T=JS&amp;NEWS=n&amp;CSC=Y&amp;PAGE=toc&amp;D=yrovft&amp;AN=00002480-000000000-00000")</f>
        <v>https://ovidsp.ovid.com/ovidweb.cgi?T=JS&amp;NEWS=n&amp;CSC=Y&amp;PAGE=toc&amp;D=yrovft&amp;AN=00002480-000000000-00000</v>
      </c>
      <c r="N40" t="s">
        <v>1486</v>
      </c>
      <c r="O40" t="s">
        <v>2151</v>
      </c>
      <c r="P40" t="s">
        <v>2431</v>
      </c>
      <c r="Q40">
        <v>1428052</v>
      </c>
      <c r="R40" t="s">
        <v>1354</v>
      </c>
      <c r="S40" t="s">
        <v>84</v>
      </c>
      <c r="T40" t="s">
        <v>2152</v>
      </c>
      <c r="U40" t="s">
        <v>2459</v>
      </c>
      <c r="V40" t="b">
        <v>1</v>
      </c>
      <c r="W40" t="s">
        <v>328</v>
      </c>
      <c r="X40" t="b">
        <v>0</v>
      </c>
      <c r="Y40" t="s">
        <v>2022</v>
      </c>
      <c r="Z40" t="s">
        <v>1351</v>
      </c>
      <c r="AA40" t="s">
        <v>192</v>
      </c>
      <c r="AB40" t="s">
        <v>192</v>
      </c>
    </row>
    <row r="41" spans="1:28" x14ac:dyDescent="0.3">
      <c r="A41" t="s">
        <v>1129</v>
      </c>
      <c r="B41" t="s">
        <v>1176</v>
      </c>
      <c r="C41" t="s">
        <v>3123</v>
      </c>
      <c r="D41" t="s">
        <v>44</v>
      </c>
      <c r="E41" s="1">
        <v>46055</v>
      </c>
      <c r="F41">
        <v>43</v>
      </c>
      <c r="G41">
        <v>0</v>
      </c>
      <c r="H41">
        <v>45</v>
      </c>
      <c r="I41">
        <v>3</v>
      </c>
      <c r="J41" t="s">
        <v>2224</v>
      </c>
      <c r="K41" t="s">
        <v>2602</v>
      </c>
      <c r="L41" t="s">
        <v>2365</v>
      </c>
      <c r="M41" s="3" t="str">
        <f>HYPERLINK("https://ovidsp.ovid.com/ovidweb.cgi?T=JS&amp;NEWS=n&amp;CSC=Y&amp;PAGE=toc&amp;D=yrovft&amp;AN=01219183-000000000-00000","https://ovidsp.ovid.com/ovidweb.cgi?T=JS&amp;NEWS=n&amp;CSC=Y&amp;PAGE=toc&amp;D=yrovft&amp;AN=01219183-000000000-00000")</f>
        <v>https://ovidsp.ovid.com/ovidweb.cgi?T=JS&amp;NEWS=n&amp;CSC=Y&amp;PAGE=toc&amp;D=yrovft&amp;AN=01219183-000000000-00000</v>
      </c>
      <c r="N41" t="s">
        <v>2351</v>
      </c>
      <c r="O41" t="s">
        <v>2151</v>
      </c>
      <c r="P41" t="s">
        <v>2431</v>
      </c>
      <c r="Q41">
        <v>1428052</v>
      </c>
      <c r="R41" t="s">
        <v>2536</v>
      </c>
      <c r="S41" t="s">
        <v>84</v>
      </c>
      <c r="T41" t="s">
        <v>2152</v>
      </c>
      <c r="U41" t="s">
        <v>657</v>
      </c>
      <c r="V41" t="b">
        <v>0</v>
      </c>
      <c r="W41" t="s">
        <v>2022</v>
      </c>
      <c r="X41" t="b">
        <v>0</v>
      </c>
      <c r="Y41" t="s">
        <v>2022</v>
      </c>
      <c r="Z41" t="s">
        <v>1351</v>
      </c>
      <c r="AA41" t="s">
        <v>192</v>
      </c>
      <c r="AB41" t="s">
        <v>192</v>
      </c>
    </row>
    <row r="42" spans="1:28" x14ac:dyDescent="0.3">
      <c r="A42" t="s">
        <v>46</v>
      </c>
      <c r="B42" t="s">
        <v>2022</v>
      </c>
      <c r="C42" t="s">
        <v>92</v>
      </c>
      <c r="D42" t="s">
        <v>44</v>
      </c>
      <c r="E42" s="1">
        <v>46055</v>
      </c>
      <c r="F42">
        <v>1</v>
      </c>
      <c r="G42">
        <v>1</v>
      </c>
      <c r="H42">
        <v>15</v>
      </c>
      <c r="I42">
        <v>4</v>
      </c>
      <c r="J42" t="s">
        <v>1216</v>
      </c>
      <c r="K42" t="s">
        <v>3082</v>
      </c>
      <c r="L42" t="s">
        <v>2771</v>
      </c>
      <c r="M42" s="3" t="str">
        <f>HYPERLINK("https://ovidsp.ovid.com/ovidweb.cgi?T=JS&amp;NEWS=n&amp;CSC=Y&amp;PAGE=toc&amp;D=yrovft&amp;AN=01607935-000000000-00000","https://ovidsp.ovid.com/ovidweb.cgi?T=JS&amp;NEWS=n&amp;CSC=Y&amp;PAGE=toc&amp;D=yrovft&amp;AN=01607935-000000000-00000")</f>
        <v>https://ovidsp.ovid.com/ovidweb.cgi?T=JS&amp;NEWS=n&amp;CSC=Y&amp;PAGE=toc&amp;D=yrovft&amp;AN=01607935-000000000-00000</v>
      </c>
      <c r="N42" t="s">
        <v>1221</v>
      </c>
      <c r="O42" t="s">
        <v>2151</v>
      </c>
      <c r="P42" t="s">
        <v>2431</v>
      </c>
      <c r="Q42">
        <v>1428052</v>
      </c>
      <c r="R42" t="s">
        <v>1975</v>
      </c>
      <c r="S42" t="s">
        <v>84</v>
      </c>
      <c r="T42" t="s">
        <v>2152</v>
      </c>
      <c r="U42" t="s">
        <v>1045</v>
      </c>
      <c r="V42" t="b">
        <v>1</v>
      </c>
      <c r="W42" t="s">
        <v>1731</v>
      </c>
      <c r="X42" t="b">
        <v>0</v>
      </c>
      <c r="Y42" t="s">
        <v>2022</v>
      </c>
      <c r="Z42" t="s">
        <v>1351</v>
      </c>
      <c r="AA42" t="s">
        <v>192</v>
      </c>
      <c r="AB42" t="s">
        <v>192</v>
      </c>
    </row>
    <row r="43" spans="1:28" x14ac:dyDescent="0.3">
      <c r="A43" t="s">
        <v>410</v>
      </c>
      <c r="B43" t="s">
        <v>1940</v>
      </c>
      <c r="C43" t="s">
        <v>1940</v>
      </c>
      <c r="D43" t="s">
        <v>44</v>
      </c>
      <c r="E43" s="1">
        <v>46055</v>
      </c>
      <c r="F43">
        <v>1</v>
      </c>
      <c r="G43">
        <v>1</v>
      </c>
      <c r="H43">
        <v>12</v>
      </c>
      <c r="I43">
        <v>6</v>
      </c>
      <c r="J43" t="s">
        <v>3097</v>
      </c>
      <c r="K43" t="s">
        <v>2038</v>
      </c>
      <c r="L43" t="s">
        <v>2819</v>
      </c>
      <c r="M43" s="3" t="str">
        <f>HYPERLINK("https://ovidsp.ovid.com/ovidweb.cgi?T=JS&amp;NEWS=n&amp;CSC=Y&amp;PAGE=toc&amp;D=yrovft&amp;AN=01599573-000000000-00000","https://ovidsp.ovid.com/ovidweb.cgi?T=JS&amp;NEWS=n&amp;CSC=Y&amp;PAGE=toc&amp;D=yrovft&amp;AN=01599573-000000000-00000")</f>
        <v>https://ovidsp.ovid.com/ovidweb.cgi?T=JS&amp;NEWS=n&amp;CSC=Y&amp;PAGE=toc&amp;D=yrovft&amp;AN=01599573-000000000-00000</v>
      </c>
      <c r="N43" t="s">
        <v>109</v>
      </c>
      <c r="O43" t="s">
        <v>2151</v>
      </c>
      <c r="P43" t="s">
        <v>2431</v>
      </c>
      <c r="Q43">
        <v>1428052</v>
      </c>
      <c r="R43" t="s">
        <v>193</v>
      </c>
      <c r="S43" t="s">
        <v>84</v>
      </c>
      <c r="T43" t="s">
        <v>2152</v>
      </c>
      <c r="U43" t="s">
        <v>271</v>
      </c>
      <c r="V43" t="b">
        <v>1</v>
      </c>
      <c r="W43" t="s">
        <v>2750</v>
      </c>
      <c r="X43" t="b">
        <v>0</v>
      </c>
      <c r="Y43" t="s">
        <v>2022</v>
      </c>
      <c r="Z43" t="s">
        <v>2022</v>
      </c>
      <c r="AA43" t="s">
        <v>192</v>
      </c>
      <c r="AB43" t="s">
        <v>192</v>
      </c>
    </row>
    <row r="44" spans="1:28" x14ac:dyDescent="0.3">
      <c r="A44" t="s">
        <v>3060</v>
      </c>
      <c r="B44" t="s">
        <v>2994</v>
      </c>
      <c r="C44" t="s">
        <v>2177</v>
      </c>
      <c r="D44" t="s">
        <v>44</v>
      </c>
      <c r="E44" s="1">
        <v>46055</v>
      </c>
      <c r="F44">
        <v>1</v>
      </c>
      <c r="G44">
        <v>1</v>
      </c>
      <c r="H44">
        <v>1</v>
      </c>
      <c r="I44">
        <v>2</v>
      </c>
      <c r="J44" t="s">
        <v>200</v>
      </c>
      <c r="K44" t="s">
        <v>1378</v>
      </c>
      <c r="L44" t="s">
        <v>870</v>
      </c>
      <c r="M44" s="3" t="str">
        <f>HYPERLINK("https://ovidsp.ovid.com/ovidweb.cgi?T=JS&amp;NEWS=n&amp;CSC=Y&amp;PAGE=toc&amp;D=yrovft&amp;AN=02276245-000000000-00000","https://ovidsp.ovid.com/ovidweb.cgi?T=JS&amp;NEWS=n&amp;CSC=Y&amp;PAGE=toc&amp;D=yrovft&amp;AN=02276245-000000000-00000")</f>
        <v>https://ovidsp.ovid.com/ovidweb.cgi?T=JS&amp;NEWS=n&amp;CSC=Y&amp;PAGE=toc&amp;D=yrovft&amp;AN=02276245-000000000-00000</v>
      </c>
      <c r="N44" t="s">
        <v>2022</v>
      </c>
      <c r="O44" t="s">
        <v>2151</v>
      </c>
      <c r="P44" t="s">
        <v>2431</v>
      </c>
      <c r="Q44">
        <v>1428052</v>
      </c>
      <c r="R44" t="s">
        <v>669</v>
      </c>
      <c r="S44" t="s">
        <v>84</v>
      </c>
      <c r="T44" t="s">
        <v>2152</v>
      </c>
      <c r="U44" t="s">
        <v>1382</v>
      </c>
      <c r="V44" t="b">
        <v>1</v>
      </c>
      <c r="W44" t="s">
        <v>2601</v>
      </c>
      <c r="X44" t="b">
        <v>0</v>
      </c>
      <c r="Y44" t="s">
        <v>2022</v>
      </c>
      <c r="Z44" t="s">
        <v>1351</v>
      </c>
      <c r="AA44" t="s">
        <v>192</v>
      </c>
      <c r="AB44" t="s">
        <v>192</v>
      </c>
    </row>
    <row r="45" spans="1:28" x14ac:dyDescent="0.3">
      <c r="A45" t="s">
        <v>996</v>
      </c>
      <c r="B45" t="s">
        <v>1490</v>
      </c>
      <c r="C45" t="s">
        <v>684</v>
      </c>
      <c r="D45" t="s">
        <v>44</v>
      </c>
      <c r="E45" s="1">
        <v>46055</v>
      </c>
      <c r="F45">
        <v>26</v>
      </c>
      <c r="G45" t="s">
        <v>2733</v>
      </c>
      <c r="H45">
        <v>37</v>
      </c>
      <c r="I45">
        <v>1</v>
      </c>
      <c r="J45" t="s">
        <v>1878</v>
      </c>
      <c r="K45" t="s">
        <v>1525</v>
      </c>
      <c r="L45" t="s">
        <v>712</v>
      </c>
      <c r="M45" s="3" t="str">
        <f>HYPERLINK("https://ovidsp.ovid.com/ovidweb.cgi?T=JS&amp;NEWS=n&amp;CSC=Y&amp;PAGE=toc&amp;D=yrovft&amp;AN=00008877-000000000-00000","https://ovidsp.ovid.com/ovidweb.cgi?T=JS&amp;NEWS=n&amp;CSC=Y&amp;PAGE=toc&amp;D=yrovft&amp;AN=00008877-000000000-00000")</f>
        <v>https://ovidsp.ovid.com/ovidweb.cgi?T=JS&amp;NEWS=n&amp;CSC=Y&amp;PAGE=toc&amp;D=yrovft&amp;AN=00008877-000000000-00000</v>
      </c>
      <c r="N45" t="s">
        <v>668</v>
      </c>
      <c r="O45" t="s">
        <v>2151</v>
      </c>
      <c r="P45" t="s">
        <v>2431</v>
      </c>
      <c r="Q45">
        <v>1428052</v>
      </c>
      <c r="R45" t="s">
        <v>1233</v>
      </c>
      <c r="S45" t="s">
        <v>84</v>
      </c>
      <c r="T45" t="s">
        <v>2152</v>
      </c>
      <c r="U45" t="s">
        <v>1301</v>
      </c>
      <c r="V45" t="b">
        <v>1</v>
      </c>
      <c r="W45" t="s">
        <v>163</v>
      </c>
      <c r="X45" t="b">
        <v>0</v>
      </c>
      <c r="Y45" t="s">
        <v>2022</v>
      </c>
      <c r="Z45" t="s">
        <v>2042</v>
      </c>
      <c r="AA45" t="s">
        <v>192</v>
      </c>
      <c r="AB45" t="s">
        <v>192</v>
      </c>
    </row>
    <row r="46" spans="1:28" x14ac:dyDescent="0.3">
      <c r="A46" t="s">
        <v>2229</v>
      </c>
      <c r="B46" t="s">
        <v>599</v>
      </c>
      <c r="C46" t="s">
        <v>912</v>
      </c>
      <c r="D46" t="s">
        <v>44</v>
      </c>
      <c r="E46" s="1">
        <v>46055</v>
      </c>
      <c r="F46">
        <v>45</v>
      </c>
      <c r="G46">
        <v>1</v>
      </c>
      <c r="H46">
        <v>56</v>
      </c>
      <c r="I46">
        <v>3</v>
      </c>
      <c r="J46" t="s">
        <v>3114</v>
      </c>
      <c r="K46" t="s">
        <v>1093</v>
      </c>
      <c r="L46" t="s">
        <v>2032</v>
      </c>
      <c r="M46" s="3" t="str">
        <f>HYPERLINK("https://ovidsp.ovid.com/ovidweb.cgi?T=JS&amp;NEWS=n&amp;CSC=Y&amp;PAGE=toc&amp;D=yrovft&amp;AN=00149078-000000000-00000","https://ovidsp.ovid.com/ovidweb.cgi?T=JS&amp;NEWS=n&amp;CSC=Y&amp;PAGE=toc&amp;D=yrovft&amp;AN=00149078-000000000-00000")</f>
        <v>https://ovidsp.ovid.com/ovidweb.cgi?T=JS&amp;NEWS=n&amp;CSC=Y&amp;PAGE=toc&amp;D=yrovft&amp;AN=00149078-000000000-00000</v>
      </c>
      <c r="N46" t="s">
        <v>69</v>
      </c>
      <c r="O46" t="s">
        <v>2151</v>
      </c>
      <c r="P46" t="s">
        <v>2431</v>
      </c>
      <c r="Q46">
        <v>1428052</v>
      </c>
      <c r="R46" t="s">
        <v>1295</v>
      </c>
      <c r="S46" t="s">
        <v>84</v>
      </c>
      <c r="T46" t="s">
        <v>2152</v>
      </c>
      <c r="U46" t="s">
        <v>3039</v>
      </c>
      <c r="V46" t="b">
        <v>0</v>
      </c>
      <c r="W46" t="s">
        <v>2022</v>
      </c>
      <c r="X46" t="b">
        <v>0</v>
      </c>
      <c r="Y46" t="s">
        <v>2022</v>
      </c>
      <c r="Z46" t="s">
        <v>1078</v>
      </c>
      <c r="AA46" t="s">
        <v>192</v>
      </c>
      <c r="AB46" t="s">
        <v>192</v>
      </c>
    </row>
    <row r="47" spans="1:28" x14ac:dyDescent="0.3">
      <c r="A47" t="s">
        <v>1391</v>
      </c>
      <c r="B47" t="s">
        <v>2507</v>
      </c>
      <c r="C47" t="s">
        <v>1551</v>
      </c>
      <c r="D47" t="s">
        <v>44</v>
      </c>
      <c r="E47" s="1">
        <v>46055</v>
      </c>
      <c r="F47">
        <v>87</v>
      </c>
      <c r="G47">
        <v>1</v>
      </c>
      <c r="H47">
        <v>88</v>
      </c>
      <c r="I47">
        <v>1</v>
      </c>
      <c r="J47" t="s">
        <v>1835</v>
      </c>
      <c r="K47" t="s">
        <v>2365</v>
      </c>
      <c r="L47" t="s">
        <v>2919</v>
      </c>
      <c r="M47" s="3" t="str">
        <f>HYPERLINK("https://ovidsp.ovid.com/ovidweb.cgi?T=JS&amp;NEWS=n&amp;CSC=Y&amp;PAGE=toc&amp;D=yrovft&amp;AN=02276378-000000000-00000","https://ovidsp.ovid.com/ovidweb.cgi?T=JS&amp;NEWS=n&amp;CSC=Y&amp;PAGE=toc&amp;D=yrovft&amp;AN=02276378-000000000-00000")</f>
        <v>https://ovidsp.ovid.com/ovidweb.cgi?T=JS&amp;NEWS=n&amp;CSC=Y&amp;PAGE=toc&amp;D=yrovft&amp;AN=02276378-000000000-00000</v>
      </c>
      <c r="N47" t="s">
        <v>76</v>
      </c>
      <c r="O47" t="s">
        <v>2151</v>
      </c>
      <c r="P47" t="s">
        <v>2431</v>
      </c>
      <c r="Q47">
        <v>1428052</v>
      </c>
      <c r="R47" t="s">
        <v>2004</v>
      </c>
      <c r="S47" t="s">
        <v>84</v>
      </c>
      <c r="T47" t="s">
        <v>2152</v>
      </c>
      <c r="U47" t="s">
        <v>613</v>
      </c>
      <c r="V47" t="b">
        <v>1</v>
      </c>
      <c r="W47" t="s">
        <v>659</v>
      </c>
      <c r="X47" t="b">
        <v>0</v>
      </c>
      <c r="Y47" t="s">
        <v>2022</v>
      </c>
      <c r="Z47" t="s">
        <v>2022</v>
      </c>
      <c r="AA47" t="s">
        <v>192</v>
      </c>
      <c r="AB47" t="s">
        <v>192</v>
      </c>
    </row>
    <row r="48" spans="1:28" x14ac:dyDescent="0.3">
      <c r="A48" t="s">
        <v>2818</v>
      </c>
      <c r="B48" t="s">
        <v>2099</v>
      </c>
      <c r="C48" t="s">
        <v>1071</v>
      </c>
      <c r="D48" t="s">
        <v>44</v>
      </c>
      <c r="E48" s="1">
        <v>46055</v>
      </c>
      <c r="F48">
        <v>26</v>
      </c>
      <c r="G48">
        <v>1</v>
      </c>
      <c r="H48">
        <v>37</v>
      </c>
      <c r="I48">
        <v>2</v>
      </c>
      <c r="J48" t="s">
        <v>359</v>
      </c>
      <c r="K48" t="s">
        <v>1959</v>
      </c>
      <c r="L48" t="s">
        <v>2441</v>
      </c>
      <c r="M48" s="3" t="str">
        <f>HYPERLINK("https://ovidsp.ovid.com/ovidweb.cgi?T=JS&amp;NEWS=n&amp;CSC=Y&amp;PAGE=toc&amp;D=yrovft&amp;AN=00001721-000000000-00000","https://ovidsp.ovid.com/ovidweb.cgi?T=JS&amp;NEWS=n&amp;CSC=Y&amp;PAGE=toc&amp;D=yrovft&amp;AN=00001721-000000000-00000")</f>
        <v>https://ovidsp.ovid.com/ovidweb.cgi?T=JS&amp;NEWS=n&amp;CSC=Y&amp;PAGE=toc&amp;D=yrovft&amp;AN=00001721-000000000-00000</v>
      </c>
      <c r="N48" t="s">
        <v>2894</v>
      </c>
      <c r="O48" t="s">
        <v>2151</v>
      </c>
      <c r="P48" t="s">
        <v>2431</v>
      </c>
      <c r="Q48">
        <v>1428052</v>
      </c>
      <c r="R48" t="s">
        <v>157</v>
      </c>
      <c r="S48" t="s">
        <v>84</v>
      </c>
      <c r="T48" t="s">
        <v>2152</v>
      </c>
      <c r="U48" t="s">
        <v>2341</v>
      </c>
      <c r="V48" t="b">
        <v>1</v>
      </c>
      <c r="W48" t="s">
        <v>604</v>
      </c>
      <c r="X48" t="b">
        <v>0</v>
      </c>
      <c r="Y48" t="s">
        <v>2022</v>
      </c>
      <c r="Z48" t="s">
        <v>2440</v>
      </c>
      <c r="AA48" t="s">
        <v>192</v>
      </c>
      <c r="AB48" t="s">
        <v>192</v>
      </c>
    </row>
    <row r="49" spans="1:28" x14ac:dyDescent="0.3">
      <c r="A49" t="s">
        <v>2230</v>
      </c>
      <c r="B49" t="s">
        <v>2049</v>
      </c>
      <c r="C49" t="s">
        <v>473</v>
      </c>
      <c r="D49" t="s">
        <v>44</v>
      </c>
      <c r="E49" s="1">
        <v>46055</v>
      </c>
      <c r="F49">
        <v>20</v>
      </c>
      <c r="G49">
        <v>1</v>
      </c>
      <c r="H49">
        <v>31</v>
      </c>
      <c r="I49">
        <v>1</v>
      </c>
      <c r="J49" t="s">
        <v>1878</v>
      </c>
      <c r="K49" t="s">
        <v>1525</v>
      </c>
      <c r="L49" t="s">
        <v>712</v>
      </c>
      <c r="M49" s="3" t="str">
        <f>HYPERLINK("https://ovidsp.ovid.com/ovidweb.cgi?T=JS&amp;NEWS=n&amp;CSC=Y&amp;PAGE=toc&amp;D=yrovft&amp;AN=00126097-000000000-00000","https://ovidsp.ovid.com/ovidweb.cgi?T=JS&amp;NEWS=n&amp;CSC=Y&amp;PAGE=toc&amp;D=yrovft&amp;AN=00126097-000000000-00000")</f>
        <v>https://ovidsp.ovid.com/ovidweb.cgi?T=JS&amp;NEWS=n&amp;CSC=Y&amp;PAGE=toc&amp;D=yrovft&amp;AN=00126097-000000000-00000</v>
      </c>
      <c r="N49" t="s">
        <v>596</v>
      </c>
      <c r="O49" t="s">
        <v>2151</v>
      </c>
      <c r="P49" t="s">
        <v>2431</v>
      </c>
      <c r="Q49">
        <v>1428052</v>
      </c>
      <c r="R49" t="s">
        <v>2902</v>
      </c>
      <c r="S49" t="s">
        <v>84</v>
      </c>
      <c r="T49" t="s">
        <v>2152</v>
      </c>
      <c r="U49" t="s">
        <v>940</v>
      </c>
      <c r="V49" t="b">
        <v>1</v>
      </c>
      <c r="W49" t="s">
        <v>2957</v>
      </c>
      <c r="X49" t="b">
        <v>0</v>
      </c>
      <c r="Y49" t="s">
        <v>2022</v>
      </c>
      <c r="Z49" t="s">
        <v>14</v>
      </c>
      <c r="AA49" t="s">
        <v>192</v>
      </c>
      <c r="AB49" t="s">
        <v>192</v>
      </c>
    </row>
    <row r="50" spans="1:28" x14ac:dyDescent="0.3">
      <c r="A50" t="s">
        <v>2865</v>
      </c>
      <c r="B50" t="s">
        <v>2022</v>
      </c>
      <c r="C50" t="s">
        <v>971</v>
      </c>
      <c r="D50" t="s">
        <v>44</v>
      </c>
      <c r="E50" s="1">
        <v>46055</v>
      </c>
      <c r="F50">
        <v>1</v>
      </c>
      <c r="G50">
        <v>1</v>
      </c>
      <c r="H50">
        <v>8</v>
      </c>
      <c r="I50">
        <v>1</v>
      </c>
      <c r="J50" t="s">
        <v>3018</v>
      </c>
      <c r="K50" t="s">
        <v>581</v>
      </c>
      <c r="L50" t="s">
        <v>2441</v>
      </c>
      <c r="M50" s="3" t="str">
        <f>HYPERLINK("https://ovidsp.ovid.com/ovidweb.cgi?T=JS&amp;NEWS=n&amp;CSC=Y&amp;PAGE=toc&amp;D=yrovft&amp;AN=02118581-000000000-00000","https://ovidsp.ovid.com/ovidweb.cgi?T=JS&amp;NEWS=n&amp;CSC=Y&amp;PAGE=toc&amp;D=yrovft&amp;AN=02118581-000000000-00000")</f>
        <v>https://ovidsp.ovid.com/ovidweb.cgi?T=JS&amp;NEWS=n&amp;CSC=Y&amp;PAGE=toc&amp;D=yrovft&amp;AN=02118581-000000000-00000</v>
      </c>
      <c r="N50" t="s">
        <v>1606</v>
      </c>
      <c r="O50" t="s">
        <v>2151</v>
      </c>
      <c r="P50" t="s">
        <v>2431</v>
      </c>
      <c r="Q50">
        <v>1428052</v>
      </c>
      <c r="R50" t="s">
        <v>2322</v>
      </c>
      <c r="S50" t="s">
        <v>84</v>
      </c>
      <c r="T50" t="s">
        <v>2152</v>
      </c>
      <c r="U50" t="s">
        <v>693</v>
      </c>
      <c r="V50" t="b">
        <v>0</v>
      </c>
      <c r="W50" t="s">
        <v>2022</v>
      </c>
      <c r="X50" t="b">
        <v>0</v>
      </c>
      <c r="Y50" t="s">
        <v>2022</v>
      </c>
      <c r="Z50" t="s">
        <v>1351</v>
      </c>
      <c r="AA50" t="s">
        <v>192</v>
      </c>
      <c r="AB50" t="s">
        <v>192</v>
      </c>
    </row>
    <row r="51" spans="1:28" x14ac:dyDescent="0.3">
      <c r="A51" t="s">
        <v>1795</v>
      </c>
      <c r="B51" t="s">
        <v>2022</v>
      </c>
      <c r="C51" t="s">
        <v>1270</v>
      </c>
      <c r="D51" t="s">
        <v>44</v>
      </c>
      <c r="E51" s="1">
        <v>46055</v>
      </c>
      <c r="F51">
        <v>60</v>
      </c>
      <c r="G51">
        <v>1</v>
      </c>
      <c r="H51">
        <v>83</v>
      </c>
      <c r="I51">
        <v>1</v>
      </c>
      <c r="J51" t="s">
        <v>3047</v>
      </c>
      <c r="K51" t="s">
        <v>2380</v>
      </c>
      <c r="L51" t="s">
        <v>2771</v>
      </c>
      <c r="M51" s="3" t="str">
        <f>HYPERLINK("https://ovidsp.ovid.com/ovidweb.cgi?T=JS&amp;NEWS=n&amp;CSC=Y&amp;PAGE=toc&amp;D=yrovft&amp;AN=01745195-000000000-00000","https://ovidsp.ovid.com/ovidweb.cgi?T=JS&amp;NEWS=n&amp;CSC=Y&amp;PAGE=toc&amp;D=yrovft&amp;AN=01745195-000000000-00000")</f>
        <v>https://ovidsp.ovid.com/ovidweb.cgi?T=JS&amp;NEWS=n&amp;CSC=Y&amp;PAGE=toc&amp;D=yrovft&amp;AN=01745195-000000000-00000</v>
      </c>
      <c r="N51" t="s">
        <v>2022</v>
      </c>
      <c r="O51" t="s">
        <v>2151</v>
      </c>
      <c r="P51" t="s">
        <v>2431</v>
      </c>
      <c r="Q51">
        <v>1428052</v>
      </c>
      <c r="R51" t="s">
        <v>2779</v>
      </c>
      <c r="S51" t="s">
        <v>84</v>
      </c>
      <c r="T51" t="s">
        <v>2152</v>
      </c>
      <c r="U51" t="s">
        <v>3055</v>
      </c>
      <c r="V51" t="b">
        <v>1</v>
      </c>
      <c r="W51" t="s">
        <v>1812</v>
      </c>
      <c r="X51" t="b">
        <v>0</v>
      </c>
      <c r="Y51" t="s">
        <v>2022</v>
      </c>
      <c r="Z51" t="s">
        <v>1351</v>
      </c>
      <c r="AA51" t="s">
        <v>192</v>
      </c>
      <c r="AB51" t="s">
        <v>192</v>
      </c>
    </row>
    <row r="52" spans="1:28" x14ac:dyDescent="0.3">
      <c r="A52" t="s">
        <v>1443</v>
      </c>
      <c r="B52" t="s">
        <v>2022</v>
      </c>
      <c r="C52" t="s">
        <v>871</v>
      </c>
      <c r="D52" t="s">
        <v>44</v>
      </c>
      <c r="E52" s="1">
        <v>46055</v>
      </c>
      <c r="F52">
        <v>5</v>
      </c>
      <c r="G52">
        <v>2</v>
      </c>
      <c r="H52">
        <v>16</v>
      </c>
      <c r="I52">
        <v>4</v>
      </c>
      <c r="J52" t="s">
        <v>2259</v>
      </c>
      <c r="K52" t="s">
        <v>446</v>
      </c>
      <c r="L52" t="s">
        <v>2771</v>
      </c>
      <c r="M52" s="3" t="str">
        <f>HYPERLINK("https://ovidsp.ovid.com/ovidweb.cgi?T=JS&amp;NEWS=n&amp;CSC=Y&amp;PAGE=toc&amp;D=yrovft&amp;AN=02024458-000000000-00000","https://ovidsp.ovid.com/ovidweb.cgi?T=JS&amp;NEWS=n&amp;CSC=Y&amp;PAGE=toc&amp;D=yrovft&amp;AN=02024458-000000000-00000")</f>
        <v>https://ovidsp.ovid.com/ovidweb.cgi?T=JS&amp;NEWS=n&amp;CSC=Y&amp;PAGE=toc&amp;D=yrovft&amp;AN=02024458-000000000-00000</v>
      </c>
      <c r="N52" t="s">
        <v>2137</v>
      </c>
      <c r="O52" t="s">
        <v>2151</v>
      </c>
      <c r="P52" t="s">
        <v>2431</v>
      </c>
      <c r="Q52">
        <v>1428052</v>
      </c>
      <c r="R52" t="s">
        <v>952</v>
      </c>
      <c r="S52" t="s">
        <v>84</v>
      </c>
      <c r="T52" t="s">
        <v>2152</v>
      </c>
      <c r="U52" t="s">
        <v>3037</v>
      </c>
      <c r="V52" t="b">
        <v>0</v>
      </c>
      <c r="W52" t="s">
        <v>2022</v>
      </c>
      <c r="X52" t="b">
        <v>0</v>
      </c>
      <c r="Y52" t="s">
        <v>2022</v>
      </c>
      <c r="Z52" t="s">
        <v>1281</v>
      </c>
      <c r="AA52" t="s">
        <v>192</v>
      </c>
      <c r="AB52" t="s">
        <v>192</v>
      </c>
    </row>
    <row r="53" spans="1:28" x14ac:dyDescent="0.3">
      <c r="A53" t="s">
        <v>1528</v>
      </c>
      <c r="B53" t="s">
        <v>2022</v>
      </c>
      <c r="C53" t="s">
        <v>1172</v>
      </c>
      <c r="D53" t="s">
        <v>44</v>
      </c>
      <c r="E53" s="1">
        <v>46055</v>
      </c>
      <c r="F53">
        <v>1</v>
      </c>
      <c r="G53">
        <v>1</v>
      </c>
      <c r="H53">
        <v>6</v>
      </c>
      <c r="I53">
        <v>1</v>
      </c>
      <c r="J53" t="s">
        <v>986</v>
      </c>
      <c r="K53" t="s">
        <v>1536</v>
      </c>
      <c r="L53" t="s">
        <v>2919</v>
      </c>
      <c r="M53" s="3" t="str">
        <f>HYPERLINK("https://ovidsp.ovid.com/ovidweb.cgi?T=JS&amp;NEWS=n&amp;CSC=Y&amp;PAGE=toc&amp;D=yrovft&amp;AN=02200497-000000000-00000","https://ovidsp.ovid.com/ovidweb.cgi?T=JS&amp;NEWS=n&amp;CSC=Y&amp;PAGE=toc&amp;D=yrovft&amp;AN=02200497-000000000-00000")</f>
        <v>https://ovidsp.ovid.com/ovidweb.cgi?T=JS&amp;NEWS=n&amp;CSC=Y&amp;PAGE=toc&amp;D=yrovft&amp;AN=02200497-000000000-00000</v>
      </c>
      <c r="N53" t="s">
        <v>723</v>
      </c>
      <c r="O53" t="s">
        <v>2151</v>
      </c>
      <c r="P53" t="s">
        <v>2431</v>
      </c>
      <c r="Q53">
        <v>1428052</v>
      </c>
      <c r="R53" t="s">
        <v>1530</v>
      </c>
      <c r="S53" t="s">
        <v>84</v>
      </c>
      <c r="T53" t="s">
        <v>2152</v>
      </c>
      <c r="U53" t="s">
        <v>1851</v>
      </c>
      <c r="V53" t="b">
        <v>0</v>
      </c>
      <c r="W53" t="s">
        <v>2022</v>
      </c>
      <c r="X53" t="b">
        <v>0</v>
      </c>
      <c r="Y53" t="s">
        <v>2022</v>
      </c>
      <c r="Z53" t="s">
        <v>2022</v>
      </c>
      <c r="AA53" t="s">
        <v>192</v>
      </c>
      <c r="AB53" t="s">
        <v>192</v>
      </c>
    </row>
    <row r="54" spans="1:28" x14ac:dyDescent="0.3">
      <c r="A54" t="s">
        <v>1394</v>
      </c>
      <c r="B54" t="s">
        <v>1639</v>
      </c>
      <c r="C54" t="s">
        <v>2643</v>
      </c>
      <c r="D54" t="s">
        <v>44</v>
      </c>
      <c r="E54" s="1">
        <v>46055</v>
      </c>
      <c r="F54">
        <v>38</v>
      </c>
      <c r="G54">
        <v>1</v>
      </c>
      <c r="H54">
        <v>49</v>
      </c>
      <c r="I54">
        <v>1</v>
      </c>
      <c r="J54" t="s">
        <v>672</v>
      </c>
      <c r="K54" t="s">
        <v>1959</v>
      </c>
      <c r="L54" t="s">
        <v>2919</v>
      </c>
      <c r="M54" s="3" t="str">
        <f>HYPERLINK("https://ovidsp.ovid.com/ovidweb.cgi?T=JS&amp;NEWS=n&amp;CSC=Y&amp;PAGE=toc&amp;D=yrovft&amp;AN=00002820-000000000-00000","https://ovidsp.ovid.com/ovidweb.cgi?T=JS&amp;NEWS=n&amp;CSC=Y&amp;PAGE=toc&amp;D=yrovft&amp;AN=00002820-000000000-00000")</f>
        <v>https://ovidsp.ovid.com/ovidweb.cgi?T=JS&amp;NEWS=n&amp;CSC=Y&amp;PAGE=toc&amp;D=yrovft&amp;AN=00002820-000000000-00000</v>
      </c>
      <c r="N54" t="s">
        <v>851</v>
      </c>
      <c r="O54" t="s">
        <v>2151</v>
      </c>
      <c r="P54" t="s">
        <v>2431</v>
      </c>
      <c r="Q54">
        <v>1428052</v>
      </c>
      <c r="R54" t="s">
        <v>479</v>
      </c>
      <c r="S54" t="s">
        <v>84</v>
      </c>
      <c r="T54" t="s">
        <v>2152</v>
      </c>
      <c r="U54" t="s">
        <v>1256</v>
      </c>
      <c r="V54" t="b">
        <v>1</v>
      </c>
      <c r="W54" t="s">
        <v>2692</v>
      </c>
      <c r="X54" t="b">
        <v>0</v>
      </c>
      <c r="Y54" t="s">
        <v>2022</v>
      </c>
      <c r="Z54" t="s">
        <v>2440</v>
      </c>
      <c r="AA54" t="s">
        <v>192</v>
      </c>
      <c r="AB54" t="s">
        <v>192</v>
      </c>
    </row>
    <row r="55" spans="1:28" x14ac:dyDescent="0.3">
      <c r="A55" t="s">
        <v>427</v>
      </c>
      <c r="B55" t="s">
        <v>958</v>
      </c>
      <c r="C55" t="s">
        <v>2022</v>
      </c>
      <c r="D55" t="s">
        <v>44</v>
      </c>
      <c r="E55" s="1">
        <v>46055</v>
      </c>
      <c r="F55">
        <v>1</v>
      </c>
      <c r="G55">
        <v>1</v>
      </c>
      <c r="H55">
        <v>1</v>
      </c>
      <c r="I55">
        <v>1</v>
      </c>
      <c r="J55" t="s">
        <v>872</v>
      </c>
      <c r="K55" t="s">
        <v>2771</v>
      </c>
      <c r="L55" t="s">
        <v>2771</v>
      </c>
      <c r="M55" s="3" t="str">
        <f>HYPERLINK("https://ovidsp.ovid.com/ovidweb.cgi?T=JS&amp;NEWS=n&amp;CSC=Y&amp;PAGE=toc&amp;D=yrovft&amp;AN=02276436-000000000-00000","https://ovidsp.ovid.com/ovidweb.cgi?T=JS&amp;NEWS=n&amp;CSC=Y&amp;PAGE=toc&amp;D=yrovft&amp;AN=02276436-000000000-00000")</f>
        <v>https://ovidsp.ovid.com/ovidweb.cgi?T=JS&amp;NEWS=n&amp;CSC=Y&amp;PAGE=toc&amp;D=yrovft&amp;AN=02276436-000000000-00000</v>
      </c>
      <c r="N55" t="s">
        <v>2022</v>
      </c>
      <c r="O55" t="s">
        <v>2151</v>
      </c>
      <c r="P55" t="s">
        <v>2431</v>
      </c>
      <c r="Q55">
        <v>1428052</v>
      </c>
      <c r="R55" t="s">
        <v>1522</v>
      </c>
      <c r="S55" t="s">
        <v>84</v>
      </c>
      <c r="T55" t="s">
        <v>2152</v>
      </c>
      <c r="U55" t="s">
        <v>56</v>
      </c>
      <c r="V55" t="b">
        <v>0</v>
      </c>
      <c r="W55" t="s">
        <v>2022</v>
      </c>
      <c r="X55" t="b">
        <v>0</v>
      </c>
      <c r="Y55" t="s">
        <v>2022</v>
      </c>
      <c r="Z55" t="s">
        <v>1351</v>
      </c>
      <c r="AA55" t="s">
        <v>192</v>
      </c>
      <c r="AB55" t="s">
        <v>192</v>
      </c>
    </row>
    <row r="56" spans="1:28" x14ac:dyDescent="0.3">
      <c r="A56" t="s">
        <v>259</v>
      </c>
      <c r="B56" t="s">
        <v>1538</v>
      </c>
      <c r="C56" t="s">
        <v>511</v>
      </c>
      <c r="D56" t="s">
        <v>44</v>
      </c>
      <c r="E56" s="1">
        <v>46055</v>
      </c>
      <c r="F56">
        <v>1</v>
      </c>
      <c r="G56">
        <v>1</v>
      </c>
      <c r="H56">
        <v>5</v>
      </c>
      <c r="I56">
        <v>4</v>
      </c>
      <c r="J56" t="s">
        <v>2007</v>
      </c>
      <c r="K56" t="s">
        <v>1661</v>
      </c>
      <c r="L56" t="s">
        <v>2771</v>
      </c>
      <c r="M56" s="3" t="str">
        <f>HYPERLINK("https://ovidsp.ovid.com/ovidweb.cgi?T=JS&amp;NEWS=n&amp;CSC=Y&amp;PAGE=toc&amp;D=yrovft&amp;AN=02211144-000000000-00000","https://ovidsp.ovid.com/ovidweb.cgi?T=JS&amp;NEWS=n&amp;CSC=Y&amp;PAGE=toc&amp;D=yrovft&amp;AN=02211144-000000000-00000")</f>
        <v>https://ovidsp.ovid.com/ovidweb.cgi?T=JS&amp;NEWS=n&amp;CSC=Y&amp;PAGE=toc&amp;D=yrovft&amp;AN=02211144-000000000-00000</v>
      </c>
      <c r="N56" t="s">
        <v>218</v>
      </c>
      <c r="O56" t="s">
        <v>2151</v>
      </c>
      <c r="P56" t="s">
        <v>2431</v>
      </c>
      <c r="Q56">
        <v>1428052</v>
      </c>
      <c r="R56" t="s">
        <v>296</v>
      </c>
      <c r="S56" t="s">
        <v>84</v>
      </c>
      <c r="T56" t="s">
        <v>2152</v>
      </c>
      <c r="U56" t="s">
        <v>2657</v>
      </c>
      <c r="V56" t="b">
        <v>1</v>
      </c>
      <c r="W56" t="s">
        <v>1397</v>
      </c>
      <c r="X56" t="b">
        <v>0</v>
      </c>
      <c r="Y56" t="s">
        <v>2022</v>
      </c>
      <c r="Z56" t="s">
        <v>2022</v>
      </c>
      <c r="AA56" t="s">
        <v>192</v>
      </c>
      <c r="AB56" t="s">
        <v>192</v>
      </c>
    </row>
    <row r="57" spans="1:28" x14ac:dyDescent="0.3">
      <c r="A57" t="s">
        <v>2385</v>
      </c>
      <c r="B57" t="s">
        <v>2022</v>
      </c>
      <c r="C57" t="s">
        <v>745</v>
      </c>
      <c r="D57" t="s">
        <v>44</v>
      </c>
      <c r="E57" s="1">
        <v>46055</v>
      </c>
      <c r="F57">
        <v>23</v>
      </c>
      <c r="G57">
        <v>1</v>
      </c>
      <c r="H57">
        <v>34</v>
      </c>
      <c r="I57">
        <v>1</v>
      </c>
      <c r="J57" t="s">
        <v>672</v>
      </c>
      <c r="K57" t="s">
        <v>1959</v>
      </c>
      <c r="L57" t="s">
        <v>2919</v>
      </c>
      <c r="M57" s="3" t="str">
        <f>HYPERLINK("https://ovidsp.ovid.com/ovidweb.cgi?T=JS&amp;NEWS=n&amp;CSC=Y&amp;PAGE=toc&amp;D=yrovft&amp;AN=00045415-000000000-00000","https://ovidsp.ovid.com/ovidweb.cgi?T=JS&amp;NEWS=n&amp;CSC=Y&amp;PAGE=toc&amp;D=yrovft&amp;AN=00045415-000000000-00000")</f>
        <v>https://ovidsp.ovid.com/ovidweb.cgi?T=JS&amp;NEWS=n&amp;CSC=Y&amp;PAGE=toc&amp;D=yrovft&amp;AN=00045415-000000000-00000</v>
      </c>
      <c r="N57" t="s">
        <v>1296</v>
      </c>
      <c r="O57" t="s">
        <v>2151</v>
      </c>
      <c r="P57" t="s">
        <v>2431</v>
      </c>
      <c r="Q57">
        <v>1428052</v>
      </c>
      <c r="R57" t="s">
        <v>1804</v>
      </c>
      <c r="S57" t="s">
        <v>84</v>
      </c>
      <c r="T57" t="s">
        <v>2152</v>
      </c>
      <c r="U57" t="s">
        <v>1086</v>
      </c>
      <c r="V57" t="b">
        <v>1</v>
      </c>
      <c r="W57" t="s">
        <v>331</v>
      </c>
      <c r="X57" t="b">
        <v>0</v>
      </c>
      <c r="Y57" t="s">
        <v>2022</v>
      </c>
      <c r="Z57" t="s">
        <v>1351</v>
      </c>
      <c r="AA57" t="s">
        <v>192</v>
      </c>
      <c r="AB57" t="s">
        <v>192</v>
      </c>
    </row>
    <row r="58" spans="1:28" x14ac:dyDescent="0.3">
      <c r="A58" t="s">
        <v>278</v>
      </c>
      <c r="B58" t="s">
        <v>3013</v>
      </c>
      <c r="C58" t="s">
        <v>1637</v>
      </c>
      <c r="D58" t="s">
        <v>44</v>
      </c>
      <c r="E58" s="1">
        <v>46055</v>
      </c>
      <c r="F58">
        <v>1</v>
      </c>
      <c r="G58">
        <v>1</v>
      </c>
      <c r="H58">
        <v>10</v>
      </c>
      <c r="I58">
        <v>4</v>
      </c>
      <c r="J58" t="s">
        <v>2202</v>
      </c>
      <c r="K58" t="s">
        <v>2571</v>
      </c>
      <c r="L58" t="s">
        <v>2802</v>
      </c>
      <c r="M58" s="3" t="str">
        <f>HYPERLINK("https://ovidsp.ovid.com/ovidweb.cgi?T=JS&amp;NEWS=n&amp;CSC=Y&amp;PAGE=toc&amp;D=yrovft&amp;AN=02071805-000000000-00000","https://ovidsp.ovid.com/ovidweb.cgi?T=JS&amp;NEWS=n&amp;CSC=Y&amp;PAGE=toc&amp;D=yrovft&amp;AN=02071805-000000000-00000")</f>
        <v>https://ovidsp.ovid.com/ovidweb.cgi?T=JS&amp;NEWS=n&amp;CSC=Y&amp;PAGE=toc&amp;D=yrovft&amp;AN=02071805-000000000-00000</v>
      </c>
      <c r="N58" t="s">
        <v>621</v>
      </c>
      <c r="O58" t="s">
        <v>2151</v>
      </c>
      <c r="P58" t="s">
        <v>2431</v>
      </c>
      <c r="Q58">
        <v>1428052</v>
      </c>
      <c r="R58" t="s">
        <v>850</v>
      </c>
      <c r="S58" t="s">
        <v>84</v>
      </c>
      <c r="T58" t="s">
        <v>2152</v>
      </c>
      <c r="U58" t="s">
        <v>1512</v>
      </c>
      <c r="V58" t="b">
        <v>1</v>
      </c>
      <c r="W58" t="s">
        <v>2087</v>
      </c>
      <c r="X58" t="b">
        <v>0</v>
      </c>
      <c r="Y58" t="s">
        <v>2022</v>
      </c>
      <c r="Z58" t="s">
        <v>1351</v>
      </c>
      <c r="AA58" t="s">
        <v>192</v>
      </c>
      <c r="AB58" t="s">
        <v>192</v>
      </c>
    </row>
    <row r="59" spans="1:28" x14ac:dyDescent="0.3">
      <c r="A59" t="s">
        <v>1175</v>
      </c>
      <c r="B59" t="s">
        <v>2022</v>
      </c>
      <c r="C59" t="s">
        <v>1042</v>
      </c>
      <c r="D59" t="s">
        <v>44</v>
      </c>
      <c r="E59" s="1">
        <v>46055</v>
      </c>
      <c r="F59">
        <v>25</v>
      </c>
      <c r="G59">
        <v>3</v>
      </c>
      <c r="H59">
        <v>37</v>
      </c>
      <c r="I59">
        <v>1</v>
      </c>
      <c r="J59" t="s">
        <v>345</v>
      </c>
      <c r="K59" t="s">
        <v>2583</v>
      </c>
      <c r="L59" t="s">
        <v>2919</v>
      </c>
      <c r="M59" s="3" t="str">
        <f>HYPERLINK("https://ovidsp.ovid.com/ovidweb.cgi?T=JS&amp;NEWS=n&amp;CSC=Y&amp;PAGE=toc&amp;D=yrovft&amp;AN=01823246-000000000-00000","https://ovidsp.ovid.com/ovidweb.cgi?T=JS&amp;NEWS=n&amp;CSC=Y&amp;PAGE=toc&amp;D=yrovft&amp;AN=01823246-000000000-00000")</f>
        <v>https://ovidsp.ovid.com/ovidweb.cgi?T=JS&amp;NEWS=n&amp;CSC=Y&amp;PAGE=toc&amp;D=yrovft&amp;AN=01823246-000000000-00000</v>
      </c>
      <c r="N59" t="s">
        <v>1523</v>
      </c>
      <c r="O59" t="s">
        <v>2151</v>
      </c>
      <c r="P59" t="s">
        <v>2431</v>
      </c>
      <c r="Q59">
        <v>1428052</v>
      </c>
      <c r="R59" t="s">
        <v>944</v>
      </c>
      <c r="S59" t="s">
        <v>84</v>
      </c>
      <c r="T59" t="s">
        <v>2152</v>
      </c>
      <c r="U59" t="s">
        <v>183</v>
      </c>
      <c r="V59" t="b">
        <v>1</v>
      </c>
      <c r="W59" t="s">
        <v>2591</v>
      </c>
      <c r="X59" t="b">
        <v>0</v>
      </c>
      <c r="Y59" t="s">
        <v>2022</v>
      </c>
      <c r="Z59" t="s">
        <v>1191</v>
      </c>
      <c r="AA59" t="s">
        <v>192</v>
      </c>
      <c r="AB59" t="s">
        <v>192</v>
      </c>
    </row>
    <row r="60" spans="1:28" x14ac:dyDescent="0.3">
      <c r="A60" t="s">
        <v>1385</v>
      </c>
      <c r="B60" t="s">
        <v>2644</v>
      </c>
      <c r="C60" t="s">
        <v>2644</v>
      </c>
      <c r="D60" t="s">
        <v>44</v>
      </c>
      <c r="E60" s="1">
        <v>46055</v>
      </c>
      <c r="F60">
        <v>1</v>
      </c>
      <c r="G60">
        <v>1</v>
      </c>
      <c r="H60">
        <v>6</v>
      </c>
      <c r="I60">
        <v>4</v>
      </c>
      <c r="J60" t="s">
        <v>2955</v>
      </c>
      <c r="K60" t="s">
        <v>1235</v>
      </c>
      <c r="L60" t="s">
        <v>1921</v>
      </c>
      <c r="M60" s="3" t="str">
        <f>HYPERLINK("https://ovidsp.ovid.com/ovidweb.cgi?T=JS&amp;NEWS=n&amp;CSC=Y&amp;PAGE=toc&amp;D=yrovft&amp;AN=01626549-000000000-00000","https://ovidsp.ovid.com/ovidweb.cgi?T=JS&amp;NEWS=n&amp;CSC=Y&amp;PAGE=toc&amp;D=yrovft&amp;AN=01626549-000000000-00000")</f>
        <v>https://ovidsp.ovid.com/ovidweb.cgi?T=JS&amp;NEWS=n&amp;CSC=Y&amp;PAGE=toc&amp;D=yrovft&amp;AN=01626549-000000000-00000</v>
      </c>
      <c r="N60" t="s">
        <v>377</v>
      </c>
      <c r="O60" t="s">
        <v>2151</v>
      </c>
      <c r="P60" t="s">
        <v>2431</v>
      </c>
      <c r="Q60">
        <v>1428052</v>
      </c>
      <c r="R60" t="s">
        <v>1793</v>
      </c>
      <c r="S60" t="s">
        <v>84</v>
      </c>
      <c r="T60" t="s">
        <v>2152</v>
      </c>
      <c r="U60" t="s">
        <v>764</v>
      </c>
      <c r="V60" t="b">
        <v>0</v>
      </c>
      <c r="W60" t="s">
        <v>2022</v>
      </c>
      <c r="X60" t="b">
        <v>0</v>
      </c>
      <c r="Y60" t="s">
        <v>2022</v>
      </c>
      <c r="Z60" t="s">
        <v>1351</v>
      </c>
      <c r="AA60" t="s">
        <v>192</v>
      </c>
      <c r="AB60" t="s">
        <v>192</v>
      </c>
    </row>
    <row r="61" spans="1:28" x14ac:dyDescent="0.3">
      <c r="A61" t="s">
        <v>246</v>
      </c>
      <c r="B61" t="s">
        <v>2022</v>
      </c>
      <c r="C61" t="s">
        <v>2644</v>
      </c>
      <c r="D61" t="s">
        <v>44</v>
      </c>
      <c r="E61" s="1">
        <v>46055</v>
      </c>
      <c r="F61">
        <v>7</v>
      </c>
      <c r="G61">
        <v>1</v>
      </c>
      <c r="H61">
        <v>15</v>
      </c>
      <c r="I61">
        <v>1</v>
      </c>
      <c r="J61" t="s">
        <v>2111</v>
      </c>
      <c r="K61" t="s">
        <v>1929</v>
      </c>
      <c r="L61" t="s">
        <v>2441</v>
      </c>
      <c r="M61" s="3" t="str">
        <f>HYPERLINK("https://ovidsp.ovid.com/ovidweb.cgi?T=JS&amp;NEWS=n&amp;CSC=Y&amp;PAGE=toc&amp;D=yrovft&amp;AN=02045117-000000000-00000","https://ovidsp.ovid.com/ovidweb.cgi?T=JS&amp;NEWS=n&amp;CSC=Y&amp;PAGE=toc&amp;D=yrovft&amp;AN=02045117-000000000-00000")</f>
        <v>https://ovidsp.ovid.com/ovidweb.cgi?T=JS&amp;NEWS=n&amp;CSC=Y&amp;PAGE=toc&amp;D=yrovft&amp;AN=02045117-000000000-00000</v>
      </c>
      <c r="N61" t="s">
        <v>1195</v>
      </c>
      <c r="O61" t="s">
        <v>2151</v>
      </c>
      <c r="P61" t="s">
        <v>2431</v>
      </c>
      <c r="Q61">
        <v>1428052</v>
      </c>
      <c r="R61" t="s">
        <v>1905</v>
      </c>
      <c r="S61" t="s">
        <v>84</v>
      </c>
      <c r="T61" t="s">
        <v>2152</v>
      </c>
      <c r="U61" t="s">
        <v>1026</v>
      </c>
      <c r="V61" t="b">
        <v>0</v>
      </c>
      <c r="W61" t="s">
        <v>2022</v>
      </c>
      <c r="X61" t="b">
        <v>0</v>
      </c>
      <c r="Y61" t="s">
        <v>2022</v>
      </c>
      <c r="Z61" t="s">
        <v>1351</v>
      </c>
      <c r="AA61" t="s">
        <v>192</v>
      </c>
      <c r="AB61" t="s">
        <v>192</v>
      </c>
    </row>
    <row r="62" spans="1:28" x14ac:dyDescent="0.3">
      <c r="A62" t="s">
        <v>211</v>
      </c>
      <c r="B62" t="s">
        <v>417</v>
      </c>
      <c r="C62" t="s">
        <v>441</v>
      </c>
      <c r="D62" t="s">
        <v>44</v>
      </c>
      <c r="E62" s="1">
        <v>46055</v>
      </c>
      <c r="F62">
        <v>119</v>
      </c>
      <c r="G62">
        <v>1</v>
      </c>
      <c r="H62">
        <v>139</v>
      </c>
      <c r="I62">
        <v>2</v>
      </c>
      <c r="J62" t="s">
        <v>743</v>
      </c>
      <c r="K62" t="s">
        <v>526</v>
      </c>
      <c r="L62" t="s">
        <v>2144</v>
      </c>
      <c r="M62" s="3" t="str">
        <f>HYPERLINK("https://ovidsp.ovid.com/ovidweb.cgi?T=JS&amp;NEWS=n&amp;CSC=Y&amp;PAGE=toc&amp;D=yrovft&amp;AN=00029330-000000000-00000","https://ovidsp.ovid.com/ovidweb.cgi?T=JS&amp;NEWS=n&amp;CSC=Y&amp;PAGE=toc&amp;D=yrovft&amp;AN=00029330-000000000-00000")</f>
        <v>https://ovidsp.ovid.com/ovidweb.cgi?T=JS&amp;NEWS=n&amp;CSC=Y&amp;PAGE=toc&amp;D=yrovft&amp;AN=00029330-000000000-00000</v>
      </c>
      <c r="N62" t="s">
        <v>541</v>
      </c>
      <c r="O62" t="s">
        <v>2151</v>
      </c>
      <c r="P62" t="s">
        <v>2431</v>
      </c>
      <c r="Q62">
        <v>1428052</v>
      </c>
      <c r="R62" t="s">
        <v>2270</v>
      </c>
      <c r="S62" t="s">
        <v>84</v>
      </c>
      <c r="T62" t="s">
        <v>2152</v>
      </c>
      <c r="U62" t="s">
        <v>1700</v>
      </c>
      <c r="V62" t="b">
        <v>1</v>
      </c>
      <c r="W62" t="s">
        <v>2116</v>
      </c>
      <c r="X62" t="b">
        <v>0</v>
      </c>
      <c r="Y62" t="s">
        <v>2022</v>
      </c>
      <c r="Z62" t="s">
        <v>1351</v>
      </c>
      <c r="AA62" t="s">
        <v>192</v>
      </c>
      <c r="AB62" t="s">
        <v>192</v>
      </c>
    </row>
    <row r="63" spans="1:28" x14ac:dyDescent="0.3">
      <c r="A63" t="s">
        <v>1761</v>
      </c>
      <c r="B63" t="s">
        <v>216</v>
      </c>
      <c r="C63" t="s">
        <v>65</v>
      </c>
      <c r="D63" t="s">
        <v>44</v>
      </c>
      <c r="E63" s="1">
        <v>46055</v>
      </c>
      <c r="F63">
        <v>1</v>
      </c>
      <c r="G63">
        <v>1</v>
      </c>
      <c r="H63">
        <v>8</v>
      </c>
      <c r="I63">
        <v>4</v>
      </c>
      <c r="J63" t="s">
        <v>2349</v>
      </c>
      <c r="K63" t="s">
        <v>924</v>
      </c>
      <c r="L63" t="s">
        <v>2771</v>
      </c>
      <c r="M63" s="3" t="str">
        <f>HYPERLINK("https://ovidsp.ovid.com/ovidweb.cgi?T=JS&amp;NEWS=n&amp;CSC=Y&amp;PAGE=toc&amp;D=yrovft&amp;AN=02104054-000000000-00000","https://ovidsp.ovid.com/ovidweb.cgi?T=JS&amp;NEWS=n&amp;CSC=Y&amp;PAGE=toc&amp;D=yrovft&amp;AN=02104054-000000000-00000")</f>
        <v>https://ovidsp.ovid.com/ovidweb.cgi?T=JS&amp;NEWS=n&amp;CSC=Y&amp;PAGE=toc&amp;D=yrovft&amp;AN=02104054-000000000-00000</v>
      </c>
      <c r="N63" t="s">
        <v>1531</v>
      </c>
      <c r="O63" t="s">
        <v>2151</v>
      </c>
      <c r="P63" t="s">
        <v>2431</v>
      </c>
      <c r="Q63">
        <v>1428052</v>
      </c>
      <c r="R63" t="s">
        <v>9</v>
      </c>
      <c r="S63" t="s">
        <v>84</v>
      </c>
      <c r="T63" t="s">
        <v>2152</v>
      </c>
      <c r="U63" t="s">
        <v>3044</v>
      </c>
      <c r="V63" t="b">
        <v>1</v>
      </c>
      <c r="W63" t="s">
        <v>2888</v>
      </c>
      <c r="X63" t="b">
        <v>0</v>
      </c>
      <c r="Y63" t="s">
        <v>2022</v>
      </c>
      <c r="Z63" t="s">
        <v>1154</v>
      </c>
      <c r="AA63" t="s">
        <v>192</v>
      </c>
      <c r="AB63" t="s">
        <v>192</v>
      </c>
    </row>
    <row r="64" spans="1:28" x14ac:dyDescent="0.3">
      <c r="A64" t="s">
        <v>2689</v>
      </c>
      <c r="B64" t="s">
        <v>2022</v>
      </c>
      <c r="C64" t="s">
        <v>1627</v>
      </c>
      <c r="D64" t="s">
        <v>44</v>
      </c>
      <c r="E64" s="1">
        <v>46055</v>
      </c>
      <c r="F64">
        <v>33</v>
      </c>
      <c r="G64">
        <v>1</v>
      </c>
      <c r="H64">
        <v>44</v>
      </c>
      <c r="I64">
        <v>1</v>
      </c>
      <c r="J64" t="s">
        <v>672</v>
      </c>
      <c r="K64" t="s">
        <v>1959</v>
      </c>
      <c r="L64" t="s">
        <v>2919</v>
      </c>
      <c r="M64" s="3" t="str">
        <f>HYPERLINK("https://ovidsp.ovid.com/ovidweb.cgi?T=JS&amp;NEWS=n&amp;CSC=Y&amp;PAGE=toc&amp;D=yrovft&amp;AN=00024665-000000000-00000","https://ovidsp.ovid.com/ovidweb.cgi?T=JS&amp;NEWS=n&amp;CSC=Y&amp;PAGE=toc&amp;D=yrovft&amp;AN=00024665-000000000-00000")</f>
        <v>https://ovidsp.ovid.com/ovidweb.cgi?T=JS&amp;NEWS=n&amp;CSC=Y&amp;PAGE=toc&amp;D=yrovft&amp;AN=00024665-000000000-00000</v>
      </c>
      <c r="N64" t="s">
        <v>500</v>
      </c>
      <c r="O64" t="s">
        <v>2151</v>
      </c>
      <c r="P64" t="s">
        <v>2431</v>
      </c>
      <c r="Q64">
        <v>1428052</v>
      </c>
      <c r="R64" t="s">
        <v>1131</v>
      </c>
      <c r="S64" t="s">
        <v>84</v>
      </c>
      <c r="T64" t="s">
        <v>2152</v>
      </c>
      <c r="U64" t="s">
        <v>1540</v>
      </c>
      <c r="V64" t="b">
        <v>1</v>
      </c>
      <c r="W64" t="s">
        <v>1703</v>
      </c>
      <c r="X64" t="b">
        <v>0</v>
      </c>
      <c r="Y64" t="s">
        <v>2022</v>
      </c>
      <c r="Z64" t="s">
        <v>478</v>
      </c>
      <c r="AA64" t="s">
        <v>192</v>
      </c>
      <c r="AB64" t="s">
        <v>192</v>
      </c>
    </row>
    <row r="65" spans="1:28" x14ac:dyDescent="0.3">
      <c r="A65" t="s">
        <v>2921</v>
      </c>
      <c r="B65" t="s">
        <v>992</v>
      </c>
      <c r="C65" t="s">
        <v>2022</v>
      </c>
      <c r="D65" t="s">
        <v>44</v>
      </c>
      <c r="E65" s="1">
        <v>46055</v>
      </c>
      <c r="F65">
        <v>131</v>
      </c>
      <c r="G65">
        <v>1</v>
      </c>
      <c r="H65">
        <v>153</v>
      </c>
      <c r="I65">
        <v>4</v>
      </c>
      <c r="J65" t="s">
        <v>809</v>
      </c>
      <c r="K65" t="s">
        <v>1609</v>
      </c>
      <c r="L65" t="s">
        <v>2517</v>
      </c>
      <c r="M65" s="3" t="str">
        <f>HYPERLINK("https://ovidsp.ovid.com/ovidweb.cgi?T=JS&amp;NEWS=n&amp;CSC=Y&amp;PAGE=toc&amp;D=yrovft&amp;AN=00003017-000000000-00000","https://ovidsp.ovid.com/ovidweb.cgi?T=JS&amp;NEWS=n&amp;CSC=Y&amp;PAGE=toc&amp;D=yrovft&amp;AN=00003017-000000000-00000")</f>
        <v>https://ovidsp.ovid.com/ovidweb.cgi?T=JS&amp;NEWS=n&amp;CSC=Y&amp;PAGE=toc&amp;D=yrovft&amp;AN=00003017-000000000-00000</v>
      </c>
      <c r="N65" t="s">
        <v>1419</v>
      </c>
      <c r="O65" t="s">
        <v>2151</v>
      </c>
      <c r="P65" t="s">
        <v>2431</v>
      </c>
      <c r="Q65">
        <v>1428052</v>
      </c>
      <c r="R65" t="s">
        <v>2746</v>
      </c>
      <c r="S65" t="s">
        <v>84</v>
      </c>
      <c r="T65" t="s">
        <v>2152</v>
      </c>
      <c r="U65" t="s">
        <v>2089</v>
      </c>
      <c r="V65" t="b">
        <v>1</v>
      </c>
      <c r="W65" t="s">
        <v>631</v>
      </c>
      <c r="X65" t="b">
        <v>0</v>
      </c>
      <c r="Y65" t="s">
        <v>2022</v>
      </c>
      <c r="Z65" t="s">
        <v>1351</v>
      </c>
      <c r="AA65" t="s">
        <v>192</v>
      </c>
      <c r="AB65" t="s">
        <v>192</v>
      </c>
    </row>
    <row r="66" spans="1:28" x14ac:dyDescent="0.3">
      <c r="A66" t="s">
        <v>1784</v>
      </c>
      <c r="B66" t="s">
        <v>919</v>
      </c>
      <c r="C66" t="s">
        <v>2225</v>
      </c>
      <c r="D66" t="s">
        <v>44</v>
      </c>
      <c r="E66" s="1">
        <v>46055</v>
      </c>
      <c r="F66">
        <v>116</v>
      </c>
      <c r="G66">
        <v>1</v>
      </c>
      <c r="H66">
        <v>138</v>
      </c>
      <c r="I66">
        <v>3</v>
      </c>
      <c r="J66" t="s">
        <v>2423</v>
      </c>
      <c r="K66" t="s">
        <v>2788</v>
      </c>
      <c r="L66" t="s">
        <v>2308</v>
      </c>
      <c r="M66" s="3" t="str">
        <f>HYPERLINK("https://ovidsp.ovid.com/ovidweb.cgi?T=JS&amp;NEWS=n&amp;CSC=Y&amp;PAGE=toc&amp;D=yrovft&amp;AN=00003012-000000000-00000","https://ovidsp.ovid.com/ovidweb.cgi?T=JS&amp;NEWS=n&amp;CSC=Y&amp;PAGE=toc&amp;D=yrovft&amp;AN=00003012-000000000-00000")</f>
        <v>https://ovidsp.ovid.com/ovidweb.cgi?T=JS&amp;NEWS=n&amp;CSC=Y&amp;PAGE=toc&amp;D=yrovft&amp;AN=00003012-000000000-00000</v>
      </c>
      <c r="N66" t="s">
        <v>2043</v>
      </c>
      <c r="O66" t="s">
        <v>2151</v>
      </c>
      <c r="P66" t="s">
        <v>2431</v>
      </c>
      <c r="Q66">
        <v>1428052</v>
      </c>
      <c r="R66" t="s">
        <v>3035</v>
      </c>
      <c r="S66" t="s">
        <v>84</v>
      </c>
      <c r="T66" t="s">
        <v>2152</v>
      </c>
      <c r="U66" t="s">
        <v>598</v>
      </c>
      <c r="V66" t="b">
        <v>1</v>
      </c>
      <c r="W66" t="s">
        <v>2129</v>
      </c>
      <c r="X66" t="b">
        <v>0</v>
      </c>
      <c r="Y66" t="s">
        <v>2022</v>
      </c>
      <c r="Z66" t="s">
        <v>1351</v>
      </c>
      <c r="AA66" t="s">
        <v>192</v>
      </c>
      <c r="AB66" t="s">
        <v>192</v>
      </c>
    </row>
    <row r="67" spans="1:28" x14ac:dyDescent="0.3">
      <c r="A67" t="s">
        <v>3021</v>
      </c>
      <c r="B67" t="s">
        <v>2022</v>
      </c>
      <c r="C67" t="s">
        <v>816</v>
      </c>
      <c r="D67" t="s">
        <v>44</v>
      </c>
      <c r="E67" s="1">
        <v>46055</v>
      </c>
      <c r="F67">
        <v>8</v>
      </c>
      <c r="G67">
        <v>1</v>
      </c>
      <c r="H67">
        <v>19</v>
      </c>
      <c r="I67">
        <v>1</v>
      </c>
      <c r="J67" t="s">
        <v>2561</v>
      </c>
      <c r="K67" t="s">
        <v>1525</v>
      </c>
      <c r="L67" t="s">
        <v>2919</v>
      </c>
      <c r="M67" s="3" t="str">
        <f>HYPERLINK("https://ovidsp.ovid.com/ovidweb.cgi?T=JS&amp;NEWS=n&amp;CSC=Y&amp;PAGE=toc&amp;D=yrovft&amp;AN=01337493-000000000-00000","https://ovidsp.ovid.com/ovidweb.cgi?T=JS&amp;NEWS=n&amp;CSC=Y&amp;PAGE=toc&amp;D=yrovft&amp;AN=01337493-000000000-00000")</f>
        <v>https://ovidsp.ovid.com/ovidweb.cgi?T=JS&amp;NEWS=n&amp;CSC=Y&amp;PAGE=toc&amp;D=yrovft&amp;AN=01337493-000000000-00000</v>
      </c>
      <c r="N67" t="s">
        <v>2523</v>
      </c>
      <c r="O67" t="s">
        <v>2151</v>
      </c>
      <c r="P67" t="s">
        <v>2431</v>
      </c>
      <c r="Q67">
        <v>1428052</v>
      </c>
      <c r="R67" t="s">
        <v>722</v>
      </c>
      <c r="S67" t="s">
        <v>84</v>
      </c>
      <c r="T67" t="s">
        <v>2152</v>
      </c>
      <c r="U67" t="s">
        <v>2482</v>
      </c>
      <c r="V67" t="b">
        <v>1</v>
      </c>
      <c r="W67" t="s">
        <v>71</v>
      </c>
      <c r="X67" t="b">
        <v>0</v>
      </c>
      <c r="Y67" t="s">
        <v>2022</v>
      </c>
      <c r="Z67" t="s">
        <v>1351</v>
      </c>
      <c r="AA67" t="s">
        <v>192</v>
      </c>
      <c r="AB67" t="s">
        <v>192</v>
      </c>
    </row>
    <row r="68" spans="1:28" x14ac:dyDescent="0.3">
      <c r="A68" t="s">
        <v>383</v>
      </c>
      <c r="B68" t="s">
        <v>741</v>
      </c>
      <c r="C68" t="s">
        <v>153</v>
      </c>
      <c r="D68" t="s">
        <v>44</v>
      </c>
      <c r="E68" s="1">
        <v>46055</v>
      </c>
      <c r="F68">
        <v>8</v>
      </c>
      <c r="G68">
        <v>1</v>
      </c>
      <c r="H68">
        <v>10</v>
      </c>
      <c r="I68">
        <v>6</v>
      </c>
      <c r="J68" t="s">
        <v>197</v>
      </c>
      <c r="K68" t="s">
        <v>1525</v>
      </c>
      <c r="L68" t="s">
        <v>1921</v>
      </c>
      <c r="M68" s="3" t="str">
        <f>HYPERLINK("https://ovidsp.ovid.com/ovidweb.cgi?T=JS&amp;NEWS=n&amp;CSC=Y&amp;PAGE=toc&amp;D=yrovft&amp;AN=01337497-000000000-00000","https://ovidsp.ovid.com/ovidweb.cgi?T=JS&amp;NEWS=n&amp;CSC=Y&amp;PAGE=toc&amp;D=yrovft&amp;AN=01337497-000000000-00000")</f>
        <v>https://ovidsp.ovid.com/ovidweb.cgi?T=JS&amp;NEWS=n&amp;CSC=Y&amp;PAGE=toc&amp;D=yrovft&amp;AN=01337497-000000000-00000</v>
      </c>
      <c r="N68" t="s">
        <v>2024</v>
      </c>
      <c r="O68" t="s">
        <v>2151</v>
      </c>
      <c r="P68" t="s">
        <v>2431</v>
      </c>
      <c r="Q68">
        <v>1428052</v>
      </c>
      <c r="R68" t="s">
        <v>148</v>
      </c>
      <c r="S68" t="s">
        <v>84</v>
      </c>
      <c r="T68" t="s">
        <v>2152</v>
      </c>
      <c r="U68" t="s">
        <v>256</v>
      </c>
      <c r="V68" t="b">
        <v>0</v>
      </c>
      <c r="W68" t="s">
        <v>2022</v>
      </c>
      <c r="X68" t="b">
        <v>0</v>
      </c>
      <c r="Y68" t="s">
        <v>2022</v>
      </c>
      <c r="Z68" t="s">
        <v>1351</v>
      </c>
      <c r="AA68" t="s">
        <v>192</v>
      </c>
      <c r="AB68" t="s">
        <v>192</v>
      </c>
    </row>
    <row r="69" spans="1:28" x14ac:dyDescent="0.3">
      <c r="A69" t="s">
        <v>2720</v>
      </c>
      <c r="B69" t="s">
        <v>2022</v>
      </c>
      <c r="C69" t="s">
        <v>1112</v>
      </c>
      <c r="D69" t="s">
        <v>44</v>
      </c>
      <c r="E69" s="1">
        <v>46055</v>
      </c>
      <c r="F69">
        <v>8</v>
      </c>
      <c r="G69">
        <v>1</v>
      </c>
      <c r="H69">
        <v>19</v>
      </c>
      <c r="I69">
        <v>1</v>
      </c>
      <c r="J69" t="s">
        <v>672</v>
      </c>
      <c r="K69" t="s">
        <v>1959</v>
      </c>
      <c r="L69" t="s">
        <v>2919</v>
      </c>
      <c r="M69" s="3" t="str">
        <f>HYPERLINK("https://ovidsp.ovid.com/ovidweb.cgi?T=JS&amp;NEWS=n&amp;CSC=Y&amp;PAGE=toc&amp;D=yrovft&amp;AN=01337498-000000000-00000","https://ovidsp.ovid.com/ovidweb.cgi?T=JS&amp;NEWS=n&amp;CSC=Y&amp;PAGE=toc&amp;D=yrovft&amp;AN=01337498-000000000-00000")</f>
        <v>https://ovidsp.ovid.com/ovidweb.cgi?T=JS&amp;NEWS=n&amp;CSC=Y&amp;PAGE=toc&amp;D=yrovft&amp;AN=01337498-000000000-00000</v>
      </c>
      <c r="N69" t="s">
        <v>1442</v>
      </c>
      <c r="O69" t="s">
        <v>2151</v>
      </c>
      <c r="P69" t="s">
        <v>2431</v>
      </c>
      <c r="Q69">
        <v>1428052</v>
      </c>
      <c r="R69" t="s">
        <v>3140</v>
      </c>
      <c r="S69" t="s">
        <v>84</v>
      </c>
      <c r="T69" t="s">
        <v>2152</v>
      </c>
      <c r="U69" t="s">
        <v>213</v>
      </c>
      <c r="V69" t="b">
        <v>1</v>
      </c>
      <c r="W69" t="s">
        <v>2567</v>
      </c>
      <c r="X69" t="b">
        <v>0</v>
      </c>
      <c r="Y69" t="s">
        <v>2022</v>
      </c>
      <c r="Z69" t="s">
        <v>1351</v>
      </c>
      <c r="AA69" t="s">
        <v>192</v>
      </c>
      <c r="AB69" t="s">
        <v>192</v>
      </c>
    </row>
    <row r="70" spans="1:28" x14ac:dyDescent="0.3">
      <c r="A70" t="s">
        <v>1814</v>
      </c>
      <c r="B70" t="s">
        <v>2022</v>
      </c>
      <c r="C70" t="s">
        <v>2421</v>
      </c>
      <c r="D70" t="s">
        <v>44</v>
      </c>
      <c r="E70" s="1">
        <v>46055</v>
      </c>
      <c r="F70">
        <v>8</v>
      </c>
      <c r="G70">
        <v>1</v>
      </c>
      <c r="H70">
        <v>19</v>
      </c>
      <c r="I70">
        <v>1</v>
      </c>
      <c r="J70" t="s">
        <v>672</v>
      </c>
      <c r="K70" t="s">
        <v>1959</v>
      </c>
      <c r="L70" t="s">
        <v>2919</v>
      </c>
      <c r="M70" s="3" t="str">
        <f>HYPERLINK("https://ovidsp.ovid.com/ovidweb.cgi?T=JS&amp;NEWS=n&amp;CSC=Y&amp;PAGE=toc&amp;D=yrovft&amp;AN=01337495-000000000-00000","https://ovidsp.ovid.com/ovidweb.cgi?T=JS&amp;NEWS=n&amp;CSC=Y&amp;PAGE=toc&amp;D=yrovft&amp;AN=01337495-000000000-00000")</f>
        <v>https://ovidsp.ovid.com/ovidweb.cgi?T=JS&amp;NEWS=n&amp;CSC=Y&amp;PAGE=toc&amp;D=yrovft&amp;AN=01337495-000000000-00000</v>
      </c>
      <c r="N70" t="s">
        <v>2907</v>
      </c>
      <c r="O70" t="s">
        <v>2151</v>
      </c>
      <c r="P70" t="s">
        <v>2431</v>
      </c>
      <c r="Q70">
        <v>1428052</v>
      </c>
      <c r="R70" t="s">
        <v>2856</v>
      </c>
      <c r="S70" t="s">
        <v>84</v>
      </c>
      <c r="T70" t="s">
        <v>2152</v>
      </c>
      <c r="U70" t="s">
        <v>892</v>
      </c>
      <c r="V70" t="b">
        <v>1</v>
      </c>
      <c r="W70" t="s">
        <v>2681</v>
      </c>
      <c r="X70" t="b">
        <v>0</v>
      </c>
      <c r="Y70" t="s">
        <v>2022</v>
      </c>
      <c r="Z70" t="s">
        <v>1351</v>
      </c>
      <c r="AA70" t="s">
        <v>192</v>
      </c>
      <c r="AB70" t="s">
        <v>192</v>
      </c>
    </row>
    <row r="71" spans="1:28" x14ac:dyDescent="0.3">
      <c r="A71" t="s">
        <v>2654</v>
      </c>
      <c r="B71" t="s">
        <v>2022</v>
      </c>
      <c r="C71" t="s">
        <v>1992</v>
      </c>
      <c r="D71" t="s">
        <v>44</v>
      </c>
      <c r="E71" s="1">
        <v>46055</v>
      </c>
      <c r="F71">
        <v>8</v>
      </c>
      <c r="G71">
        <v>1</v>
      </c>
      <c r="H71">
        <v>18</v>
      </c>
      <c r="I71">
        <v>12</v>
      </c>
      <c r="J71" t="s">
        <v>1451</v>
      </c>
      <c r="K71" t="s">
        <v>1959</v>
      </c>
      <c r="L71" t="s">
        <v>2771</v>
      </c>
      <c r="M71" s="3" t="str">
        <f>HYPERLINK("https://ovidsp.ovid.com/ovidweb.cgi?T=JS&amp;NEWS=n&amp;CSC=Y&amp;PAGE=toc&amp;D=yrovft&amp;AN=01337496-000000000-00000","https://ovidsp.ovid.com/ovidweb.cgi?T=JS&amp;NEWS=n&amp;CSC=Y&amp;PAGE=toc&amp;D=yrovft&amp;AN=01337496-000000000-00000")</f>
        <v>https://ovidsp.ovid.com/ovidweb.cgi?T=JS&amp;NEWS=n&amp;CSC=Y&amp;PAGE=toc&amp;D=yrovft&amp;AN=01337496-000000000-00000</v>
      </c>
      <c r="N71" t="s">
        <v>855</v>
      </c>
      <c r="O71" t="s">
        <v>2151</v>
      </c>
      <c r="P71" t="s">
        <v>2431</v>
      </c>
      <c r="Q71">
        <v>1428052</v>
      </c>
      <c r="R71" t="s">
        <v>1034</v>
      </c>
      <c r="S71" t="s">
        <v>84</v>
      </c>
      <c r="T71" t="s">
        <v>2152</v>
      </c>
      <c r="U71" t="s">
        <v>3103</v>
      </c>
      <c r="V71" t="b">
        <v>1</v>
      </c>
      <c r="W71" t="s">
        <v>3038</v>
      </c>
      <c r="X71" t="b">
        <v>0</v>
      </c>
      <c r="Y71" t="s">
        <v>2022</v>
      </c>
      <c r="Z71" t="s">
        <v>1351</v>
      </c>
      <c r="AA71" t="s">
        <v>192</v>
      </c>
      <c r="AB71" t="s">
        <v>192</v>
      </c>
    </row>
    <row r="72" spans="1:28" x14ac:dyDescent="0.3">
      <c r="A72" t="s">
        <v>784</v>
      </c>
      <c r="B72" t="s">
        <v>2022</v>
      </c>
      <c r="C72" t="s">
        <v>2031</v>
      </c>
      <c r="D72" t="s">
        <v>44</v>
      </c>
      <c r="E72" s="1">
        <v>46055</v>
      </c>
      <c r="F72">
        <v>11</v>
      </c>
      <c r="G72">
        <v>1</v>
      </c>
      <c r="H72">
        <v>18</v>
      </c>
      <c r="I72">
        <v>6</v>
      </c>
      <c r="J72" t="s">
        <v>1214</v>
      </c>
      <c r="K72" t="s">
        <v>617</v>
      </c>
      <c r="L72" t="s">
        <v>2771</v>
      </c>
      <c r="M72" s="3" t="str">
        <f>HYPERLINK("https://ovidsp.ovid.com/ovidweb.cgi?T=JS&amp;NEWS=n&amp;CSC=Y&amp;PAGE=toc&amp;D=yrovft&amp;AN=02050077-000000000-00000","https://ovidsp.ovid.com/ovidweb.cgi?T=JS&amp;NEWS=n&amp;CSC=Y&amp;PAGE=toc&amp;D=yrovft&amp;AN=02050077-000000000-00000")</f>
        <v>https://ovidsp.ovid.com/ovidweb.cgi?T=JS&amp;NEWS=n&amp;CSC=Y&amp;PAGE=toc&amp;D=yrovft&amp;AN=02050077-000000000-00000</v>
      </c>
      <c r="N72" t="s">
        <v>2024</v>
      </c>
      <c r="O72" t="s">
        <v>2151</v>
      </c>
      <c r="P72" t="s">
        <v>2431</v>
      </c>
      <c r="Q72">
        <v>1428052</v>
      </c>
      <c r="R72" t="s">
        <v>2747</v>
      </c>
      <c r="S72" t="s">
        <v>84</v>
      </c>
      <c r="T72" t="s">
        <v>2152</v>
      </c>
      <c r="U72" t="s">
        <v>3131</v>
      </c>
      <c r="V72" t="b">
        <v>1</v>
      </c>
      <c r="W72" t="s">
        <v>1634</v>
      </c>
      <c r="X72" t="b">
        <v>0</v>
      </c>
      <c r="Y72" t="s">
        <v>2022</v>
      </c>
      <c r="Z72" t="s">
        <v>1351</v>
      </c>
      <c r="AA72" t="s">
        <v>192</v>
      </c>
      <c r="AB72" t="s">
        <v>192</v>
      </c>
    </row>
    <row r="73" spans="1:28" x14ac:dyDescent="0.3">
      <c r="A73" t="s">
        <v>2000</v>
      </c>
      <c r="B73" t="s">
        <v>2022</v>
      </c>
      <c r="C73" t="s">
        <v>112</v>
      </c>
      <c r="D73" t="s">
        <v>44</v>
      </c>
      <c r="E73" s="1">
        <v>46055</v>
      </c>
      <c r="F73">
        <v>8</v>
      </c>
      <c r="G73">
        <v>1</v>
      </c>
      <c r="H73">
        <v>19</v>
      </c>
      <c r="I73">
        <v>1</v>
      </c>
      <c r="J73" t="s">
        <v>672</v>
      </c>
      <c r="K73" t="s">
        <v>1959</v>
      </c>
      <c r="L73" t="s">
        <v>2919</v>
      </c>
      <c r="M73" s="3" t="str">
        <f>HYPERLINK("https://ovidsp.ovid.com/ovidweb.cgi?T=JS&amp;NEWS=n&amp;CSC=Y&amp;PAGE=toc&amp;D=yrovft&amp;AN=01337494-000000000-00000","https://ovidsp.ovid.com/ovidweb.cgi?T=JS&amp;NEWS=n&amp;CSC=Y&amp;PAGE=toc&amp;D=yrovft&amp;AN=01337494-000000000-00000")</f>
        <v>https://ovidsp.ovid.com/ovidweb.cgi?T=JS&amp;NEWS=n&amp;CSC=Y&amp;PAGE=toc&amp;D=yrovft&amp;AN=01337494-000000000-00000</v>
      </c>
      <c r="N73" t="s">
        <v>1438</v>
      </c>
      <c r="O73" t="s">
        <v>2151</v>
      </c>
      <c r="P73" t="s">
        <v>2431</v>
      </c>
      <c r="Q73">
        <v>1428052</v>
      </c>
      <c r="R73" t="s">
        <v>3126</v>
      </c>
      <c r="S73" t="s">
        <v>84</v>
      </c>
      <c r="T73" t="s">
        <v>2152</v>
      </c>
      <c r="U73" t="s">
        <v>1753</v>
      </c>
      <c r="V73" t="b">
        <v>0</v>
      </c>
      <c r="W73" t="s">
        <v>2022</v>
      </c>
      <c r="X73" t="b">
        <v>0</v>
      </c>
      <c r="Y73" t="s">
        <v>2022</v>
      </c>
      <c r="Z73" t="s">
        <v>1351</v>
      </c>
      <c r="AA73" t="s">
        <v>192</v>
      </c>
      <c r="AB73" t="s">
        <v>192</v>
      </c>
    </row>
    <row r="74" spans="1:28" x14ac:dyDescent="0.3">
      <c r="A74" t="s">
        <v>1386</v>
      </c>
      <c r="B74" t="s">
        <v>2022</v>
      </c>
      <c r="C74" t="s">
        <v>1799</v>
      </c>
      <c r="D74" t="s">
        <v>44</v>
      </c>
      <c r="E74" s="1">
        <v>46055</v>
      </c>
      <c r="F74">
        <v>1</v>
      </c>
      <c r="G74">
        <v>10</v>
      </c>
      <c r="H74">
        <v>17</v>
      </c>
      <c r="I74">
        <v>1</v>
      </c>
      <c r="J74" t="s">
        <v>1930</v>
      </c>
      <c r="K74" t="s">
        <v>1067</v>
      </c>
      <c r="L74" t="s">
        <v>2919</v>
      </c>
      <c r="M74" s="3" t="str">
        <f>HYPERLINK("https://ovidsp.ovid.com/ovidweb.cgi?T=JS&amp;NEWS=n&amp;CSC=Y&amp;PAGE=toc&amp;D=yrovft&amp;AN=01720094-000000000-00000","https://ovidsp.ovid.com/ovidweb.cgi?T=JS&amp;NEWS=n&amp;CSC=Y&amp;PAGE=toc&amp;D=yrovft&amp;AN=01720094-000000000-00000")</f>
        <v>https://ovidsp.ovid.com/ovidweb.cgi?T=JS&amp;NEWS=n&amp;CSC=Y&amp;PAGE=toc&amp;D=yrovft&amp;AN=01720094-000000000-00000</v>
      </c>
      <c r="N74" t="s">
        <v>2140</v>
      </c>
      <c r="O74" t="s">
        <v>2151</v>
      </c>
      <c r="P74" t="s">
        <v>2431</v>
      </c>
      <c r="Q74">
        <v>1428052</v>
      </c>
      <c r="R74" t="s">
        <v>1600</v>
      </c>
      <c r="S74" t="s">
        <v>84</v>
      </c>
      <c r="T74" t="s">
        <v>2152</v>
      </c>
      <c r="U74" t="s">
        <v>1412</v>
      </c>
      <c r="V74" t="b">
        <v>1</v>
      </c>
      <c r="W74" t="s">
        <v>236</v>
      </c>
      <c r="X74" t="b">
        <v>0</v>
      </c>
      <c r="Y74" t="s">
        <v>2022</v>
      </c>
      <c r="Z74" t="s">
        <v>1351</v>
      </c>
      <c r="AA74" t="s">
        <v>192</v>
      </c>
      <c r="AB74" t="s">
        <v>192</v>
      </c>
    </row>
    <row r="75" spans="1:28" x14ac:dyDescent="0.3">
      <c r="A75" t="s">
        <v>2333</v>
      </c>
      <c r="B75" t="s">
        <v>1734</v>
      </c>
      <c r="C75" t="s">
        <v>173</v>
      </c>
      <c r="D75" t="s">
        <v>44</v>
      </c>
      <c r="E75" s="1">
        <v>46055</v>
      </c>
      <c r="F75">
        <v>24</v>
      </c>
      <c r="G75">
        <v>1</v>
      </c>
      <c r="H75">
        <v>35</v>
      </c>
      <c r="I75">
        <v>1</v>
      </c>
      <c r="J75" t="s">
        <v>672</v>
      </c>
      <c r="K75" t="s">
        <v>1959</v>
      </c>
      <c r="L75" t="s">
        <v>2919</v>
      </c>
      <c r="M75" s="3" t="str">
        <f>HYPERLINK("https://ovidsp.ovid.com/ovidweb.cgi?T=JS&amp;NEWS=n&amp;CSC=Y&amp;PAGE=toc&amp;D=yrovft&amp;AN=00019605-000000000-00000","https://ovidsp.ovid.com/ovidweb.cgi?T=JS&amp;NEWS=n&amp;CSC=Y&amp;PAGE=toc&amp;D=yrovft&amp;AN=00019605-000000000-00000")</f>
        <v>https://ovidsp.ovid.com/ovidweb.cgi?T=JS&amp;NEWS=n&amp;CSC=Y&amp;PAGE=toc&amp;D=yrovft&amp;AN=00019605-000000000-00000</v>
      </c>
      <c r="N75" t="s">
        <v>2418</v>
      </c>
      <c r="O75" t="s">
        <v>2151</v>
      </c>
      <c r="P75" t="s">
        <v>2431</v>
      </c>
      <c r="Q75">
        <v>1428052</v>
      </c>
      <c r="R75" t="s">
        <v>719</v>
      </c>
      <c r="S75" t="s">
        <v>84</v>
      </c>
      <c r="T75" t="s">
        <v>2152</v>
      </c>
      <c r="U75" t="s">
        <v>2520</v>
      </c>
      <c r="V75" t="b">
        <v>1</v>
      </c>
      <c r="W75" t="s">
        <v>1516</v>
      </c>
      <c r="X75" t="b">
        <v>0</v>
      </c>
      <c r="Y75" t="s">
        <v>2022</v>
      </c>
      <c r="Z75" t="s">
        <v>1585</v>
      </c>
      <c r="AA75" t="s">
        <v>192</v>
      </c>
      <c r="AB75" t="s">
        <v>192</v>
      </c>
    </row>
    <row r="76" spans="1:28" x14ac:dyDescent="0.3">
      <c r="A76" t="s">
        <v>653</v>
      </c>
      <c r="B76" t="s">
        <v>961</v>
      </c>
      <c r="C76" t="s">
        <v>1202</v>
      </c>
      <c r="D76" t="s">
        <v>44</v>
      </c>
      <c r="E76" s="1">
        <v>46055</v>
      </c>
      <c r="F76">
        <v>25</v>
      </c>
      <c r="G76">
        <v>1</v>
      </c>
      <c r="H76">
        <v>36</v>
      </c>
      <c r="I76">
        <v>1</v>
      </c>
      <c r="J76" t="s">
        <v>672</v>
      </c>
      <c r="K76" t="s">
        <v>1959</v>
      </c>
      <c r="L76" t="s">
        <v>2919</v>
      </c>
      <c r="M76" s="3" t="str">
        <f>HYPERLINK("https://ovidsp.ovid.com/ovidweb.cgi?T=JS&amp;NEWS=n&amp;CSC=Y&amp;PAGE=toc&amp;D=yrovft&amp;AN=00042752-000000000-00000","https://ovidsp.ovid.com/ovidweb.cgi?T=JS&amp;NEWS=n&amp;CSC=Y&amp;PAGE=toc&amp;D=yrovft&amp;AN=00042752-000000000-00000")</f>
        <v>https://ovidsp.ovid.com/ovidweb.cgi?T=JS&amp;NEWS=n&amp;CSC=Y&amp;PAGE=toc&amp;D=yrovft&amp;AN=00042752-000000000-00000</v>
      </c>
      <c r="N76" t="s">
        <v>238</v>
      </c>
      <c r="O76" t="s">
        <v>2151</v>
      </c>
      <c r="P76" t="s">
        <v>2431</v>
      </c>
      <c r="Q76">
        <v>1428052</v>
      </c>
      <c r="R76" t="s">
        <v>1641</v>
      </c>
      <c r="S76" t="s">
        <v>84</v>
      </c>
      <c r="T76" t="s">
        <v>2152</v>
      </c>
      <c r="U76" t="s">
        <v>1749</v>
      </c>
      <c r="V76" t="b">
        <v>1</v>
      </c>
      <c r="W76" t="s">
        <v>2220</v>
      </c>
      <c r="X76" t="b">
        <v>0</v>
      </c>
      <c r="Y76" t="s">
        <v>2022</v>
      </c>
      <c r="Z76" t="s">
        <v>2196</v>
      </c>
      <c r="AA76" t="s">
        <v>192</v>
      </c>
      <c r="AB76" t="s">
        <v>192</v>
      </c>
    </row>
    <row r="77" spans="1:28" x14ac:dyDescent="0.3">
      <c r="A77" t="s">
        <v>1965</v>
      </c>
      <c r="B77" t="s">
        <v>198</v>
      </c>
      <c r="C77" t="s">
        <v>2653</v>
      </c>
      <c r="D77" t="s">
        <v>44</v>
      </c>
      <c r="E77" s="1">
        <v>46055</v>
      </c>
      <c r="F77">
        <v>10</v>
      </c>
      <c r="G77">
        <v>1</v>
      </c>
      <c r="H77">
        <v>21</v>
      </c>
      <c r="I77">
        <v>1</v>
      </c>
      <c r="J77" t="s">
        <v>672</v>
      </c>
      <c r="K77" t="s">
        <v>1959</v>
      </c>
      <c r="L77" t="s">
        <v>2919</v>
      </c>
      <c r="M77" s="3" t="str">
        <f>HYPERLINK("https://ovidsp.ovid.com/ovidweb.cgi?T=JS&amp;NEWS=n&amp;CSC=Y&amp;PAGE=toc&amp;D=yrovft&amp;AN=01277230-000000000-00000","https://ovidsp.ovid.com/ovidweb.cgi?T=JS&amp;NEWS=n&amp;CSC=Y&amp;PAGE=toc&amp;D=yrovft&amp;AN=01277230-000000000-00000")</f>
        <v>https://ovidsp.ovid.com/ovidweb.cgi?T=JS&amp;NEWS=n&amp;CSC=Y&amp;PAGE=toc&amp;D=yrovft&amp;AN=01277230-000000000-00000</v>
      </c>
      <c r="N77" t="s">
        <v>931</v>
      </c>
      <c r="O77" t="s">
        <v>1691</v>
      </c>
      <c r="P77" t="s">
        <v>3147</v>
      </c>
      <c r="Q77">
        <v>1428051</v>
      </c>
      <c r="R77" t="s">
        <v>3049</v>
      </c>
      <c r="S77" t="s">
        <v>84</v>
      </c>
      <c r="T77" t="s">
        <v>2152</v>
      </c>
      <c r="U77" t="s">
        <v>128</v>
      </c>
      <c r="V77" t="b">
        <v>1</v>
      </c>
      <c r="W77" t="s">
        <v>1673</v>
      </c>
      <c r="X77" t="b">
        <v>0</v>
      </c>
      <c r="Y77" t="s">
        <v>2022</v>
      </c>
      <c r="Z77" t="s">
        <v>1351</v>
      </c>
      <c r="AA77" t="s">
        <v>2947</v>
      </c>
      <c r="AB77" t="s">
        <v>1351</v>
      </c>
    </row>
    <row r="78" spans="1:28" x14ac:dyDescent="0.3">
      <c r="A78" t="s">
        <v>2714</v>
      </c>
      <c r="B78" t="s">
        <v>2022</v>
      </c>
      <c r="C78" t="s">
        <v>286</v>
      </c>
      <c r="D78" t="s">
        <v>44</v>
      </c>
      <c r="E78" s="1">
        <v>46055</v>
      </c>
      <c r="F78">
        <v>1</v>
      </c>
      <c r="G78">
        <v>1</v>
      </c>
      <c r="H78">
        <v>23</v>
      </c>
      <c r="I78">
        <v>1</v>
      </c>
      <c r="J78" t="s">
        <v>2741</v>
      </c>
      <c r="K78" t="s">
        <v>315</v>
      </c>
      <c r="L78" t="s">
        <v>1203</v>
      </c>
      <c r="M78" s="3" t="str">
        <f>HYPERLINK("https://ovidsp.ovid.com/ovidweb.cgi?T=JS&amp;NEWS=n&amp;CSC=Y&amp;PAGE=toc&amp;D=yrovft&amp;AN=01979390-000000000-00000","https://ovidsp.ovid.com/ovidweb.cgi?T=JS&amp;NEWS=n&amp;CSC=Y&amp;PAGE=toc&amp;D=yrovft&amp;AN=01979390-000000000-00000")</f>
        <v>https://ovidsp.ovid.com/ovidweb.cgi?T=JS&amp;NEWS=n&amp;CSC=Y&amp;PAGE=toc&amp;D=yrovft&amp;AN=01979390-000000000-00000</v>
      </c>
      <c r="N78" t="s">
        <v>760</v>
      </c>
      <c r="O78" t="s">
        <v>2151</v>
      </c>
      <c r="P78" t="s">
        <v>2431</v>
      </c>
      <c r="Q78">
        <v>1428052</v>
      </c>
      <c r="R78" t="s">
        <v>1454</v>
      </c>
      <c r="S78" t="s">
        <v>84</v>
      </c>
      <c r="T78" t="s">
        <v>2152</v>
      </c>
      <c r="U78" t="s">
        <v>2113</v>
      </c>
      <c r="V78" t="b">
        <v>0</v>
      </c>
      <c r="W78" t="s">
        <v>2022</v>
      </c>
      <c r="X78" t="b">
        <v>0</v>
      </c>
      <c r="Y78" t="s">
        <v>2022</v>
      </c>
      <c r="Z78" t="s">
        <v>1351</v>
      </c>
      <c r="AA78" t="s">
        <v>192</v>
      </c>
      <c r="AB78" t="s">
        <v>192</v>
      </c>
    </row>
    <row r="79" spans="1:28" x14ac:dyDescent="0.3">
      <c r="A79" t="s">
        <v>2714</v>
      </c>
      <c r="B79" t="s">
        <v>2022</v>
      </c>
      <c r="C79" t="s">
        <v>286</v>
      </c>
      <c r="D79" t="s">
        <v>44</v>
      </c>
      <c r="E79" s="1">
        <v>46055</v>
      </c>
      <c r="F79">
        <v>1</v>
      </c>
      <c r="G79">
        <v>1</v>
      </c>
      <c r="H79">
        <v>23</v>
      </c>
      <c r="I79">
        <v>1</v>
      </c>
      <c r="J79" t="s">
        <v>2741</v>
      </c>
      <c r="K79" t="s">
        <v>315</v>
      </c>
      <c r="L79" t="s">
        <v>1203</v>
      </c>
      <c r="M79" s="3" t="str">
        <f>HYPERLINK("https://ovidsp.ovid.com/ovidweb.cgi?T=JS&amp;NEWS=n&amp;CSC=Y&amp;PAGE=toc&amp;D=yrovft&amp;AN=01979390-000000000-00000","https://ovidsp.ovid.com/ovidweb.cgi?T=JS&amp;NEWS=n&amp;CSC=Y&amp;PAGE=toc&amp;D=yrovft&amp;AN=01979390-000000000-00000")</f>
        <v>https://ovidsp.ovid.com/ovidweb.cgi?T=JS&amp;NEWS=n&amp;CSC=Y&amp;PAGE=toc&amp;D=yrovft&amp;AN=01979390-000000000-00000</v>
      </c>
      <c r="N79" t="s">
        <v>760</v>
      </c>
      <c r="O79" t="s">
        <v>2191</v>
      </c>
      <c r="P79" t="s">
        <v>3137</v>
      </c>
      <c r="Q79">
        <v>1428050</v>
      </c>
      <c r="R79" t="s">
        <v>1454</v>
      </c>
      <c r="S79" t="s">
        <v>84</v>
      </c>
      <c r="T79" t="s">
        <v>2152</v>
      </c>
      <c r="U79" t="s">
        <v>2113</v>
      </c>
      <c r="V79" t="b">
        <v>0</v>
      </c>
      <c r="W79" t="s">
        <v>2022</v>
      </c>
      <c r="X79" t="b">
        <v>0</v>
      </c>
      <c r="Y79" t="s">
        <v>2022</v>
      </c>
      <c r="Z79" t="s">
        <v>1351</v>
      </c>
      <c r="AA79" t="s">
        <v>2505</v>
      </c>
      <c r="AB79" t="s">
        <v>1351</v>
      </c>
    </row>
    <row r="80" spans="1:28" x14ac:dyDescent="0.3">
      <c r="A80" t="s">
        <v>2751</v>
      </c>
      <c r="B80" t="s">
        <v>797</v>
      </c>
      <c r="C80" t="s">
        <v>2427</v>
      </c>
      <c r="D80" t="s">
        <v>44</v>
      </c>
      <c r="E80" s="1">
        <v>46055</v>
      </c>
      <c r="F80">
        <v>38</v>
      </c>
      <c r="G80">
        <v>1</v>
      </c>
      <c r="H80">
        <v>49</v>
      </c>
      <c r="I80">
        <v>1</v>
      </c>
      <c r="J80" t="s">
        <v>672</v>
      </c>
      <c r="K80" t="s">
        <v>1959</v>
      </c>
      <c r="L80" t="s">
        <v>2919</v>
      </c>
      <c r="M80" s="3" t="str">
        <f>HYPERLINK("https://ovidsp.ovid.com/ovidweb.cgi?T=JS&amp;NEWS=n&amp;CSC=Y&amp;PAGE=toc&amp;D=yrovft&amp;AN=00002826-000000000-00000","https://ovidsp.ovid.com/ovidweb.cgi?T=JS&amp;NEWS=n&amp;CSC=Y&amp;PAGE=toc&amp;D=yrovft&amp;AN=00002826-000000000-00000")</f>
        <v>https://ovidsp.ovid.com/ovidweb.cgi?T=JS&amp;NEWS=n&amp;CSC=Y&amp;PAGE=toc&amp;D=yrovft&amp;AN=00002826-000000000-00000</v>
      </c>
      <c r="N80" t="s">
        <v>1575</v>
      </c>
      <c r="O80" t="s">
        <v>2151</v>
      </c>
      <c r="P80" t="s">
        <v>2431</v>
      </c>
      <c r="Q80">
        <v>1428052</v>
      </c>
      <c r="R80" t="s">
        <v>812</v>
      </c>
      <c r="S80" t="s">
        <v>84</v>
      </c>
      <c r="T80" t="s">
        <v>2152</v>
      </c>
      <c r="U80" t="s">
        <v>2574</v>
      </c>
      <c r="V80" t="b">
        <v>1</v>
      </c>
      <c r="W80" t="s">
        <v>1324</v>
      </c>
      <c r="X80" t="b">
        <v>0</v>
      </c>
      <c r="Y80" t="s">
        <v>2022</v>
      </c>
      <c r="Z80" t="s">
        <v>1337</v>
      </c>
      <c r="AA80" t="s">
        <v>192</v>
      </c>
      <c r="AB80" t="s">
        <v>192</v>
      </c>
    </row>
    <row r="81" spans="1:28" x14ac:dyDescent="0.3">
      <c r="A81" t="s">
        <v>2275</v>
      </c>
      <c r="B81" t="s">
        <v>3094</v>
      </c>
      <c r="C81" t="s">
        <v>1151</v>
      </c>
      <c r="D81" t="s">
        <v>44</v>
      </c>
      <c r="E81" s="1">
        <v>46055</v>
      </c>
      <c r="F81">
        <v>40</v>
      </c>
      <c r="G81">
        <v>1</v>
      </c>
      <c r="H81">
        <v>51</v>
      </c>
      <c r="I81">
        <v>2</v>
      </c>
      <c r="J81" t="s">
        <v>2585</v>
      </c>
      <c r="K81" t="s">
        <v>1959</v>
      </c>
      <c r="L81" t="s">
        <v>712</v>
      </c>
      <c r="M81" s="3" t="str">
        <f>HYPERLINK("https://ovidsp.ovid.com/ovidweb.cgi?T=JS&amp;NEWS=n&amp;CSC=Y&amp;PAGE=toc&amp;D=yrovft&amp;AN=00003072-000000000-00000","https://ovidsp.ovid.com/ovidweb.cgi?T=JS&amp;NEWS=n&amp;CSC=Y&amp;PAGE=toc&amp;D=yrovft&amp;AN=00003072-000000000-00000")</f>
        <v>https://ovidsp.ovid.com/ovidweb.cgi?T=JS&amp;NEWS=n&amp;CSC=Y&amp;PAGE=toc&amp;D=yrovft&amp;AN=00003072-000000000-00000</v>
      </c>
      <c r="N81" t="s">
        <v>663</v>
      </c>
      <c r="O81" t="s">
        <v>2151</v>
      </c>
      <c r="P81" t="s">
        <v>2431</v>
      </c>
      <c r="Q81">
        <v>1428052</v>
      </c>
      <c r="R81" t="s">
        <v>2995</v>
      </c>
      <c r="S81" t="s">
        <v>84</v>
      </c>
      <c r="T81" t="s">
        <v>2152</v>
      </c>
      <c r="U81" t="s">
        <v>866</v>
      </c>
      <c r="V81" t="b">
        <v>1</v>
      </c>
      <c r="W81" t="s">
        <v>932</v>
      </c>
      <c r="X81" t="b">
        <v>0</v>
      </c>
      <c r="Y81" t="s">
        <v>2022</v>
      </c>
      <c r="Z81" t="s">
        <v>831</v>
      </c>
      <c r="AA81" t="s">
        <v>192</v>
      </c>
      <c r="AB81" t="s">
        <v>192</v>
      </c>
    </row>
    <row r="82" spans="1:28" x14ac:dyDescent="0.3">
      <c r="A82" t="s">
        <v>1762</v>
      </c>
      <c r="B82" t="s">
        <v>2022</v>
      </c>
      <c r="C82" t="s">
        <v>400</v>
      </c>
      <c r="D82" t="s">
        <v>44</v>
      </c>
      <c r="E82" s="1">
        <v>46055</v>
      </c>
      <c r="F82">
        <v>1</v>
      </c>
      <c r="G82">
        <v>1</v>
      </c>
      <c r="H82">
        <v>2</v>
      </c>
      <c r="I82">
        <v>4</v>
      </c>
      <c r="J82" t="s">
        <v>513</v>
      </c>
      <c r="K82" t="s">
        <v>1252</v>
      </c>
      <c r="L82" t="s">
        <v>2771</v>
      </c>
      <c r="M82" s="3" t="str">
        <f>HYPERLINK("https://ovidsp.ovid.com/ovidweb.cgi?T=JS&amp;NEWS=n&amp;CSC=Y&amp;PAGE=toc&amp;D=yrovft&amp;AN=02275121-000000000-00000","https://ovidsp.ovid.com/ovidweb.cgi?T=JS&amp;NEWS=n&amp;CSC=Y&amp;PAGE=toc&amp;D=yrovft&amp;AN=02275121-000000000-00000")</f>
        <v>https://ovidsp.ovid.com/ovidweb.cgi?T=JS&amp;NEWS=n&amp;CSC=Y&amp;PAGE=toc&amp;D=yrovft&amp;AN=02275121-000000000-00000</v>
      </c>
      <c r="N82" t="s">
        <v>780</v>
      </c>
      <c r="O82" t="s">
        <v>2151</v>
      </c>
      <c r="P82" t="s">
        <v>2431</v>
      </c>
      <c r="Q82">
        <v>1428052</v>
      </c>
      <c r="R82" t="s">
        <v>3102</v>
      </c>
      <c r="S82" t="s">
        <v>84</v>
      </c>
      <c r="T82" t="s">
        <v>2152</v>
      </c>
      <c r="U82" t="s">
        <v>626</v>
      </c>
      <c r="V82" t="b">
        <v>0</v>
      </c>
      <c r="W82" t="s">
        <v>2022</v>
      </c>
      <c r="X82" t="b">
        <v>0</v>
      </c>
      <c r="Y82" t="s">
        <v>2022</v>
      </c>
      <c r="Z82" t="s">
        <v>1351</v>
      </c>
      <c r="AA82" t="s">
        <v>192</v>
      </c>
      <c r="AB82" t="s">
        <v>192</v>
      </c>
    </row>
    <row r="83" spans="1:28" x14ac:dyDescent="0.3">
      <c r="A83" t="s">
        <v>791</v>
      </c>
      <c r="B83" t="s">
        <v>503</v>
      </c>
      <c r="C83" t="s">
        <v>980</v>
      </c>
      <c r="D83" t="s">
        <v>44</v>
      </c>
      <c r="E83" s="1">
        <v>46055</v>
      </c>
      <c r="F83">
        <v>29</v>
      </c>
      <c r="G83">
        <v>1</v>
      </c>
      <c r="H83">
        <v>40</v>
      </c>
      <c r="I83">
        <v>1</v>
      </c>
      <c r="J83" t="s">
        <v>672</v>
      </c>
      <c r="K83" t="s">
        <v>1959</v>
      </c>
      <c r="L83" t="s">
        <v>2919</v>
      </c>
      <c r="M83" s="3" t="str">
        <f>HYPERLINK("https://ovidsp.ovid.com/ovidweb.cgi?T=JS&amp;NEWS=n&amp;CSC=Y&amp;PAGE=toc&amp;D=yrovft&amp;AN=00002800-000000000-00000","https://ovidsp.ovid.com/ovidweb.cgi?T=JS&amp;NEWS=n&amp;CSC=Y&amp;PAGE=toc&amp;D=yrovft&amp;AN=00002800-000000000-00000")</f>
        <v>https://ovidsp.ovid.com/ovidweb.cgi?T=JS&amp;NEWS=n&amp;CSC=Y&amp;PAGE=toc&amp;D=yrovft&amp;AN=00002800-000000000-00000</v>
      </c>
      <c r="N83" t="s">
        <v>142</v>
      </c>
      <c r="O83" t="s">
        <v>2151</v>
      </c>
      <c r="P83" t="s">
        <v>2431</v>
      </c>
      <c r="Q83">
        <v>1428052</v>
      </c>
      <c r="R83" t="s">
        <v>2618</v>
      </c>
      <c r="S83" t="s">
        <v>84</v>
      </c>
      <c r="T83" t="s">
        <v>2152</v>
      </c>
      <c r="U83" t="s">
        <v>98</v>
      </c>
      <c r="V83" t="b">
        <v>0</v>
      </c>
      <c r="W83" t="s">
        <v>2022</v>
      </c>
      <c r="X83" t="b">
        <v>0</v>
      </c>
      <c r="Y83" t="s">
        <v>2022</v>
      </c>
      <c r="Z83" t="s">
        <v>478</v>
      </c>
      <c r="AA83" t="s">
        <v>192</v>
      </c>
      <c r="AB83" t="s">
        <v>192</v>
      </c>
    </row>
    <row r="84" spans="1:28" x14ac:dyDescent="0.3">
      <c r="A84" t="s">
        <v>2503</v>
      </c>
      <c r="B84" t="s">
        <v>3019</v>
      </c>
      <c r="C84" t="s">
        <v>1802</v>
      </c>
      <c r="D84" t="s">
        <v>44</v>
      </c>
      <c r="E84" s="1">
        <v>46055</v>
      </c>
      <c r="F84">
        <v>33</v>
      </c>
      <c r="G84">
        <v>8</v>
      </c>
      <c r="H84">
        <v>40</v>
      </c>
      <c r="I84">
        <v>1</v>
      </c>
      <c r="J84" t="s">
        <v>674</v>
      </c>
      <c r="K84" t="s">
        <v>2434</v>
      </c>
      <c r="L84" t="s">
        <v>1677</v>
      </c>
      <c r="M84" s="3" t="str">
        <f>HYPERLINK("https://ovidsp.ovid.com/ovidweb.cgi?T=JS&amp;NEWS=n&amp;CSC=Y&amp;PAGE=toc&amp;D=yrovft&amp;AN=01300516-000000000-00000","https://ovidsp.ovid.com/ovidweb.cgi?T=JS&amp;NEWS=n&amp;CSC=Y&amp;PAGE=toc&amp;D=yrovft&amp;AN=01300516-000000000-00000")</f>
        <v>https://ovidsp.ovid.com/ovidweb.cgi?T=JS&amp;NEWS=n&amp;CSC=Y&amp;PAGE=toc&amp;D=yrovft&amp;AN=01300516-000000000-00000</v>
      </c>
      <c r="N84" t="s">
        <v>298</v>
      </c>
      <c r="O84" t="s">
        <v>2151</v>
      </c>
      <c r="P84" t="s">
        <v>2431</v>
      </c>
      <c r="Q84">
        <v>1428052</v>
      </c>
      <c r="R84" t="s">
        <v>2731</v>
      </c>
      <c r="S84" t="s">
        <v>84</v>
      </c>
      <c r="T84" t="s">
        <v>2152</v>
      </c>
      <c r="U84" t="s">
        <v>454</v>
      </c>
      <c r="V84" t="b">
        <v>0</v>
      </c>
      <c r="W84" t="s">
        <v>2022</v>
      </c>
      <c r="X84" t="b">
        <v>0</v>
      </c>
      <c r="Y84" t="s">
        <v>2022</v>
      </c>
      <c r="Z84" t="s">
        <v>1351</v>
      </c>
      <c r="AA84" t="s">
        <v>192</v>
      </c>
      <c r="AB84" t="s">
        <v>192</v>
      </c>
    </row>
    <row r="85" spans="1:28" x14ac:dyDescent="0.3">
      <c r="A85" t="s">
        <v>786</v>
      </c>
      <c r="B85" t="s">
        <v>1697</v>
      </c>
      <c r="C85" t="s">
        <v>1177</v>
      </c>
      <c r="D85" t="s">
        <v>44</v>
      </c>
      <c r="E85" s="1">
        <v>46055</v>
      </c>
      <c r="F85">
        <v>58</v>
      </c>
      <c r="G85">
        <v>1</v>
      </c>
      <c r="H85">
        <v>69</v>
      </c>
      <c r="I85">
        <v>1</v>
      </c>
      <c r="J85" t="s">
        <v>1570</v>
      </c>
      <c r="K85" t="s">
        <v>2249</v>
      </c>
      <c r="L85" t="s">
        <v>2441</v>
      </c>
      <c r="M85" s="3" t="str">
        <f>HYPERLINK("https://ovidsp.ovid.com/ovidweb.cgi?T=JS&amp;NEWS=n&amp;CSC=Y&amp;PAGE=toc&amp;D=yrovft&amp;AN=00003081-000000000-00000","https://ovidsp.ovid.com/ovidweb.cgi?T=JS&amp;NEWS=n&amp;CSC=Y&amp;PAGE=toc&amp;D=yrovft&amp;AN=00003081-000000000-00000")</f>
        <v>https://ovidsp.ovid.com/ovidweb.cgi?T=JS&amp;NEWS=n&amp;CSC=Y&amp;PAGE=toc&amp;D=yrovft&amp;AN=00003081-000000000-00000</v>
      </c>
      <c r="N85" t="s">
        <v>1264</v>
      </c>
      <c r="O85" t="s">
        <v>2151</v>
      </c>
      <c r="P85" t="s">
        <v>2431</v>
      </c>
      <c r="Q85">
        <v>1428052</v>
      </c>
      <c r="R85" t="s">
        <v>2769</v>
      </c>
      <c r="S85" t="s">
        <v>84</v>
      </c>
      <c r="T85" t="s">
        <v>2152</v>
      </c>
      <c r="U85" t="s">
        <v>18</v>
      </c>
      <c r="V85" t="b">
        <v>1</v>
      </c>
      <c r="W85" t="s">
        <v>692</v>
      </c>
      <c r="X85" t="b">
        <v>0</v>
      </c>
      <c r="Y85" t="s">
        <v>2022</v>
      </c>
      <c r="Z85" t="s">
        <v>831</v>
      </c>
      <c r="AA85" t="s">
        <v>192</v>
      </c>
      <c r="AB85" t="s">
        <v>192</v>
      </c>
    </row>
    <row r="86" spans="1:28" x14ac:dyDescent="0.3">
      <c r="A86" t="s">
        <v>2170</v>
      </c>
      <c r="B86" t="s">
        <v>2239</v>
      </c>
      <c r="C86" t="s">
        <v>2889</v>
      </c>
      <c r="D86" t="s">
        <v>44</v>
      </c>
      <c r="E86" s="1">
        <v>46055</v>
      </c>
      <c r="F86">
        <v>471</v>
      </c>
      <c r="G86">
        <v>1</v>
      </c>
      <c r="H86">
        <v>484</v>
      </c>
      <c r="I86">
        <v>2</v>
      </c>
      <c r="J86" t="s">
        <v>1316</v>
      </c>
      <c r="K86" t="s">
        <v>2276</v>
      </c>
      <c r="L86" t="s">
        <v>712</v>
      </c>
      <c r="M86" s="3" t="str">
        <f>HYPERLINK("https://ovidsp.ovid.com/ovidweb.cgi?T=JS&amp;NEWS=n&amp;CSC=Y&amp;PAGE=toc&amp;D=yrovft&amp;AN=00003086-000000000-00000","https://ovidsp.ovid.com/ovidweb.cgi?T=JS&amp;NEWS=n&amp;CSC=Y&amp;PAGE=toc&amp;D=yrovft&amp;AN=00003086-000000000-00000")</f>
        <v>https://ovidsp.ovid.com/ovidweb.cgi?T=JS&amp;NEWS=n&amp;CSC=Y&amp;PAGE=toc&amp;D=yrovft&amp;AN=00003086-000000000-00000</v>
      </c>
      <c r="N86" t="s">
        <v>889</v>
      </c>
      <c r="O86" t="s">
        <v>2151</v>
      </c>
      <c r="P86" t="s">
        <v>2431</v>
      </c>
      <c r="Q86">
        <v>1428052</v>
      </c>
      <c r="R86" t="s">
        <v>467</v>
      </c>
      <c r="S86" t="s">
        <v>84</v>
      </c>
      <c r="T86" t="s">
        <v>2152</v>
      </c>
      <c r="U86" t="s">
        <v>941</v>
      </c>
      <c r="V86" t="b">
        <v>1</v>
      </c>
      <c r="W86" t="s">
        <v>793</v>
      </c>
      <c r="X86" t="b">
        <v>0</v>
      </c>
      <c r="Y86" t="s">
        <v>2022</v>
      </c>
      <c r="Z86" t="s">
        <v>1351</v>
      </c>
      <c r="AA86" t="s">
        <v>192</v>
      </c>
      <c r="AB86" t="s">
        <v>192</v>
      </c>
    </row>
    <row r="87" spans="1:28" x14ac:dyDescent="0.3">
      <c r="A87" t="s">
        <v>1096</v>
      </c>
      <c r="B87" t="s">
        <v>265</v>
      </c>
      <c r="C87" t="s">
        <v>3079</v>
      </c>
      <c r="D87" t="s">
        <v>44</v>
      </c>
      <c r="E87" s="1">
        <v>46055</v>
      </c>
      <c r="F87">
        <v>8</v>
      </c>
      <c r="G87">
        <v>1</v>
      </c>
      <c r="H87">
        <v>27</v>
      </c>
      <c r="I87">
        <v>6</v>
      </c>
      <c r="J87" t="s">
        <v>3106</v>
      </c>
      <c r="K87" t="s">
        <v>2380</v>
      </c>
      <c r="L87" t="s">
        <v>548</v>
      </c>
      <c r="M87" s="3" t="str">
        <f>HYPERLINK("https://ovidsp.ovid.com/ovidweb.cgi?T=JS&amp;NEWS=n&amp;CSC=Y&amp;PAGE=toc&amp;D=yrovft&amp;AN=00045413-000000000-00000","https://ovidsp.ovid.com/ovidweb.cgi?T=JS&amp;NEWS=n&amp;CSC=Y&amp;PAGE=toc&amp;D=yrovft&amp;AN=00045413-000000000-00000")</f>
        <v>https://ovidsp.ovid.com/ovidweb.cgi?T=JS&amp;NEWS=n&amp;CSC=Y&amp;PAGE=toc&amp;D=yrovft&amp;AN=00045413-000000000-00000</v>
      </c>
      <c r="N87" t="s">
        <v>1308</v>
      </c>
      <c r="O87" t="s">
        <v>2151</v>
      </c>
      <c r="P87" t="s">
        <v>2431</v>
      </c>
      <c r="Q87">
        <v>1428052</v>
      </c>
      <c r="R87" t="s">
        <v>2076</v>
      </c>
      <c r="S87" t="s">
        <v>84</v>
      </c>
      <c r="T87" t="s">
        <v>2152</v>
      </c>
      <c r="U87" t="s">
        <v>2145</v>
      </c>
      <c r="V87" t="b">
        <v>0</v>
      </c>
      <c r="W87" t="s">
        <v>2022</v>
      </c>
      <c r="X87" t="b">
        <v>0</v>
      </c>
      <c r="Y87" t="s">
        <v>2022</v>
      </c>
      <c r="Z87" t="s">
        <v>831</v>
      </c>
      <c r="AA87" t="s">
        <v>192</v>
      </c>
      <c r="AB87" t="s">
        <v>192</v>
      </c>
    </row>
    <row r="88" spans="1:28" x14ac:dyDescent="0.3">
      <c r="A88" t="s">
        <v>288</v>
      </c>
      <c r="B88" t="s">
        <v>1719</v>
      </c>
      <c r="C88" t="s">
        <v>53</v>
      </c>
      <c r="D88" t="s">
        <v>44</v>
      </c>
      <c r="E88" s="1">
        <v>46055</v>
      </c>
      <c r="F88">
        <v>29</v>
      </c>
      <c r="G88">
        <v>1</v>
      </c>
      <c r="H88">
        <v>39</v>
      </c>
      <c r="I88">
        <v>1</v>
      </c>
      <c r="J88" t="s">
        <v>2801</v>
      </c>
      <c r="K88" t="s">
        <v>1115</v>
      </c>
      <c r="L88" t="s">
        <v>712</v>
      </c>
      <c r="M88" s="3" t="str">
        <f>HYPERLINK("https://ovidsp.ovid.com/ovidweb.cgi?T=JS&amp;NEWS=n&amp;CSC=Y&amp;PAGE=toc&amp;D=yrovft&amp;AN=01933606-000000000-00000","https://ovidsp.ovid.com/ovidweb.cgi?T=JS&amp;NEWS=n&amp;CSC=Y&amp;PAGE=toc&amp;D=yrovft&amp;AN=01933606-000000000-00000")</f>
        <v>https://ovidsp.ovid.com/ovidweb.cgi?T=JS&amp;NEWS=n&amp;CSC=Y&amp;PAGE=toc&amp;D=yrovft&amp;AN=01933606-000000000-00000</v>
      </c>
      <c r="N88" t="s">
        <v>2671</v>
      </c>
      <c r="O88" t="s">
        <v>2151</v>
      </c>
      <c r="P88" t="s">
        <v>2431</v>
      </c>
      <c r="Q88">
        <v>1428052</v>
      </c>
      <c r="R88" t="s">
        <v>2715</v>
      </c>
      <c r="S88" t="s">
        <v>84</v>
      </c>
      <c r="T88" t="s">
        <v>2152</v>
      </c>
      <c r="U88" t="s">
        <v>2678</v>
      </c>
      <c r="V88" t="b">
        <v>1</v>
      </c>
      <c r="W88" t="s">
        <v>570</v>
      </c>
      <c r="X88" t="b">
        <v>0</v>
      </c>
      <c r="Y88" t="s">
        <v>2022</v>
      </c>
      <c r="Z88" t="s">
        <v>2022</v>
      </c>
      <c r="AA88" t="s">
        <v>192</v>
      </c>
      <c r="AB88" t="s">
        <v>192</v>
      </c>
    </row>
    <row r="89" spans="1:28" x14ac:dyDescent="0.3">
      <c r="A89" t="s">
        <v>1954</v>
      </c>
      <c r="B89" t="s">
        <v>2022</v>
      </c>
      <c r="C89" t="s">
        <v>1429</v>
      </c>
      <c r="D89" t="s">
        <v>44</v>
      </c>
      <c r="E89" s="1">
        <v>46055</v>
      </c>
      <c r="F89">
        <v>28</v>
      </c>
      <c r="G89">
        <v>1</v>
      </c>
      <c r="H89">
        <v>38</v>
      </c>
      <c r="I89">
        <v>4</v>
      </c>
      <c r="J89" t="s">
        <v>1947</v>
      </c>
      <c r="K89" t="s">
        <v>2249</v>
      </c>
      <c r="L89" t="s">
        <v>2771</v>
      </c>
      <c r="M89" s="3" t="str">
        <f>HYPERLINK("https://ovidsp.ovid.com/ovidweb.cgi?T=JS&amp;NEWS=n&amp;CSC=Y&amp;PAGE=toc&amp;D=yrovft&amp;AN=00146965-000000000-00000","https://ovidsp.ovid.com/ovidweb.cgi?T=JS&amp;NEWS=n&amp;CSC=Y&amp;PAGE=toc&amp;D=yrovft&amp;AN=00146965-000000000-00000")</f>
        <v>https://ovidsp.ovid.com/ovidweb.cgi?T=JS&amp;NEWS=n&amp;CSC=Y&amp;PAGE=toc&amp;D=yrovft&amp;AN=00146965-000000000-00000</v>
      </c>
      <c r="N89" t="s">
        <v>1642</v>
      </c>
      <c r="O89" t="s">
        <v>2151</v>
      </c>
      <c r="P89" t="s">
        <v>2431</v>
      </c>
      <c r="Q89">
        <v>1428052</v>
      </c>
      <c r="R89" t="s">
        <v>2600</v>
      </c>
      <c r="S89" t="s">
        <v>84</v>
      </c>
      <c r="T89" t="s">
        <v>2152</v>
      </c>
      <c r="U89" t="s">
        <v>435</v>
      </c>
      <c r="V89" t="b">
        <v>1</v>
      </c>
      <c r="W89" t="s">
        <v>985</v>
      </c>
      <c r="X89" t="b">
        <v>0</v>
      </c>
      <c r="Y89" t="s">
        <v>2022</v>
      </c>
      <c r="Z89" t="s">
        <v>1554</v>
      </c>
      <c r="AA89" t="s">
        <v>192</v>
      </c>
      <c r="AB89" t="s">
        <v>192</v>
      </c>
    </row>
    <row r="90" spans="1:28" x14ac:dyDescent="0.3">
      <c r="A90" t="s">
        <v>3030</v>
      </c>
      <c r="B90" t="s">
        <v>1162</v>
      </c>
      <c r="C90" t="s">
        <v>2022</v>
      </c>
      <c r="D90" t="s">
        <v>44</v>
      </c>
      <c r="E90" s="1">
        <v>46055</v>
      </c>
      <c r="F90">
        <v>2</v>
      </c>
      <c r="G90">
        <v>8</v>
      </c>
      <c r="H90">
        <v>8</v>
      </c>
      <c r="I90">
        <v>2</v>
      </c>
      <c r="J90" t="s">
        <v>906</v>
      </c>
      <c r="K90" t="s">
        <v>2011</v>
      </c>
      <c r="L90" t="s">
        <v>438</v>
      </c>
      <c r="M90" s="3" t="str">
        <f>HYPERLINK("https://ovidsp.ovid.com/ovidweb.cgi?T=JS&amp;NEWS=n&amp;CSC=Y&amp;PAGE=toc&amp;D=yrovft&amp;AN=01183741-000000000-00000","https://ovidsp.ovid.com/ovidweb.cgi?T=JS&amp;NEWS=n&amp;CSC=Y&amp;PAGE=toc&amp;D=yrovft&amp;AN=01183741-000000000-00000")</f>
        <v>https://ovidsp.ovid.com/ovidweb.cgi?T=JS&amp;NEWS=n&amp;CSC=Y&amp;PAGE=toc&amp;D=yrovft&amp;AN=01183741-000000000-00000</v>
      </c>
      <c r="N90" t="s">
        <v>2022</v>
      </c>
      <c r="O90" t="s">
        <v>2151</v>
      </c>
      <c r="P90" t="s">
        <v>2431</v>
      </c>
      <c r="Q90">
        <v>1428052</v>
      </c>
      <c r="R90" t="s">
        <v>2391</v>
      </c>
      <c r="S90" t="s">
        <v>84</v>
      </c>
      <c r="T90" t="s">
        <v>2152</v>
      </c>
      <c r="U90" t="s">
        <v>2054</v>
      </c>
      <c r="V90" t="b">
        <v>0</v>
      </c>
      <c r="W90" t="s">
        <v>2022</v>
      </c>
      <c r="X90" t="b">
        <v>0</v>
      </c>
      <c r="Y90" t="s">
        <v>2022</v>
      </c>
      <c r="Z90" t="s">
        <v>831</v>
      </c>
      <c r="AA90" t="s">
        <v>192</v>
      </c>
      <c r="AB90" t="s">
        <v>192</v>
      </c>
    </row>
    <row r="91" spans="1:28" x14ac:dyDescent="0.3">
      <c r="A91" t="s">
        <v>1121</v>
      </c>
      <c r="B91" t="s">
        <v>2559</v>
      </c>
      <c r="C91" t="s">
        <v>2655</v>
      </c>
      <c r="D91" t="s">
        <v>44</v>
      </c>
      <c r="E91" s="1">
        <v>46055</v>
      </c>
      <c r="F91">
        <v>38</v>
      </c>
      <c r="G91">
        <v>3</v>
      </c>
      <c r="H91">
        <v>49</v>
      </c>
      <c r="I91">
        <v>4</v>
      </c>
      <c r="J91" t="s">
        <v>266</v>
      </c>
      <c r="K91" t="s">
        <v>571</v>
      </c>
      <c r="L91" t="s">
        <v>2032</v>
      </c>
      <c r="M91" s="3" t="str">
        <f>HYPERLINK("https://ovidsp.ovid.com/ovidweb.cgi?T=JS&amp;NEWS=n&amp;CSC=Y&amp;PAGE=toc&amp;D=yrovft&amp;AN=00219246-000000000-00000","https://ovidsp.ovid.com/ovidweb.cgi?T=JS&amp;NEWS=n&amp;CSC=Y&amp;PAGE=toc&amp;D=yrovft&amp;AN=00219246-000000000-00000")</f>
        <v>https://ovidsp.ovid.com/ovidweb.cgi?T=JS&amp;NEWS=n&amp;CSC=Y&amp;PAGE=toc&amp;D=yrovft&amp;AN=00219246-000000000-00000</v>
      </c>
      <c r="N91" t="s">
        <v>2525</v>
      </c>
      <c r="O91" t="s">
        <v>2151</v>
      </c>
      <c r="P91" t="s">
        <v>2431</v>
      </c>
      <c r="Q91">
        <v>1428052</v>
      </c>
      <c r="R91" t="s">
        <v>2640</v>
      </c>
      <c r="S91" t="s">
        <v>84</v>
      </c>
      <c r="T91" t="s">
        <v>2152</v>
      </c>
      <c r="U91" t="s">
        <v>2516</v>
      </c>
      <c r="V91" t="b">
        <v>0</v>
      </c>
      <c r="W91" t="s">
        <v>2022</v>
      </c>
      <c r="X91" t="b">
        <v>0</v>
      </c>
      <c r="Y91" t="s">
        <v>2022</v>
      </c>
      <c r="Z91" t="s">
        <v>2196</v>
      </c>
      <c r="AA91" t="s">
        <v>192</v>
      </c>
      <c r="AB91" t="s">
        <v>192</v>
      </c>
    </row>
    <row r="92" spans="1:28" x14ac:dyDescent="0.3">
      <c r="A92" t="s">
        <v>227</v>
      </c>
      <c r="B92" t="s">
        <v>1979</v>
      </c>
      <c r="C92" t="s">
        <v>1328</v>
      </c>
      <c r="D92" t="s">
        <v>44</v>
      </c>
      <c r="E92" s="1">
        <v>46055</v>
      </c>
      <c r="F92">
        <v>37</v>
      </c>
      <c r="G92">
        <v>1</v>
      </c>
      <c r="H92">
        <v>48</v>
      </c>
      <c r="I92">
        <v>1</v>
      </c>
      <c r="J92" t="s">
        <v>2732</v>
      </c>
      <c r="K92" t="s">
        <v>1093</v>
      </c>
      <c r="L92" t="s">
        <v>2919</v>
      </c>
      <c r="M92" s="3" t="str">
        <f>HYPERLINK("https://ovidsp.ovid.com/ovidweb.cgi?T=JS&amp;NEWS=n&amp;CSC=Y&amp;PAGE=toc&amp;D=yrovft&amp;AN=00029679-000000000-00000","https://ovidsp.ovid.com/ovidweb.cgi?T=JS&amp;NEWS=n&amp;CSC=Y&amp;PAGE=toc&amp;D=yrovft&amp;AN=00029679-000000000-00000")</f>
        <v>https://ovidsp.ovid.com/ovidweb.cgi?T=JS&amp;NEWS=n&amp;CSC=Y&amp;PAGE=toc&amp;D=yrovft&amp;AN=00029679-000000000-00000</v>
      </c>
      <c r="N92" t="s">
        <v>2969</v>
      </c>
      <c r="O92" t="s">
        <v>2151</v>
      </c>
      <c r="P92" t="s">
        <v>2431</v>
      </c>
      <c r="Q92">
        <v>1428052</v>
      </c>
      <c r="R92" t="s">
        <v>2404</v>
      </c>
      <c r="S92" t="s">
        <v>84</v>
      </c>
      <c r="T92" t="s">
        <v>2152</v>
      </c>
      <c r="U92" t="s">
        <v>2758</v>
      </c>
      <c r="V92" t="b">
        <v>0</v>
      </c>
      <c r="W92" t="s">
        <v>2022</v>
      </c>
      <c r="X92" t="b">
        <v>0</v>
      </c>
      <c r="Y92" t="s">
        <v>2022</v>
      </c>
      <c r="Z92" t="s">
        <v>831</v>
      </c>
      <c r="AA92" t="s">
        <v>192</v>
      </c>
      <c r="AB92" t="s">
        <v>192</v>
      </c>
    </row>
    <row r="93" spans="1:28" x14ac:dyDescent="0.3">
      <c r="A93" t="s">
        <v>1872</v>
      </c>
      <c r="B93" t="s">
        <v>553</v>
      </c>
      <c r="C93" t="s">
        <v>2444</v>
      </c>
      <c r="D93" t="s">
        <v>44</v>
      </c>
      <c r="E93" s="1">
        <v>46055</v>
      </c>
      <c r="F93">
        <v>4</v>
      </c>
      <c r="G93">
        <v>1</v>
      </c>
      <c r="H93">
        <v>9</v>
      </c>
      <c r="I93">
        <v>16</v>
      </c>
      <c r="J93" t="s">
        <v>140</v>
      </c>
      <c r="K93" t="s">
        <v>2486</v>
      </c>
      <c r="L93" t="s">
        <v>1828</v>
      </c>
      <c r="M93" s="3" t="str">
        <f>HYPERLINK("https://ovidsp.ovid.com/ovidweb.cgi?T=JS&amp;NEWS=n&amp;CSC=Y&amp;PAGE=toc&amp;D=yrovft&amp;AN=01212979-000000000-00000","https://ovidsp.ovid.com/ovidweb.cgi?T=JS&amp;NEWS=n&amp;CSC=Y&amp;PAGE=toc&amp;D=yrovft&amp;AN=01212979-000000000-00000")</f>
        <v>https://ovidsp.ovid.com/ovidweb.cgi?T=JS&amp;NEWS=n&amp;CSC=Y&amp;PAGE=toc&amp;D=yrovft&amp;AN=01212979-000000000-00000</v>
      </c>
      <c r="N93" t="s">
        <v>2022</v>
      </c>
      <c r="O93" t="s">
        <v>2151</v>
      </c>
      <c r="P93" t="s">
        <v>2431</v>
      </c>
      <c r="Q93">
        <v>1428052</v>
      </c>
      <c r="R93" t="s">
        <v>2256</v>
      </c>
      <c r="S93" t="s">
        <v>84</v>
      </c>
      <c r="T93" t="s">
        <v>2152</v>
      </c>
      <c r="U93" t="s">
        <v>2886</v>
      </c>
      <c r="V93" t="b">
        <v>0</v>
      </c>
      <c r="W93" t="s">
        <v>2022</v>
      </c>
      <c r="X93" t="b">
        <v>0</v>
      </c>
      <c r="Y93" t="s">
        <v>2022</v>
      </c>
      <c r="Z93" t="s">
        <v>831</v>
      </c>
      <c r="AA93" t="s">
        <v>192</v>
      </c>
      <c r="AB93" t="s">
        <v>192</v>
      </c>
    </row>
    <row r="94" spans="1:28" x14ac:dyDescent="0.3">
      <c r="A94" t="s">
        <v>1605</v>
      </c>
      <c r="B94" t="s">
        <v>2468</v>
      </c>
      <c r="C94" t="s">
        <v>70</v>
      </c>
      <c r="D94" t="s">
        <v>44</v>
      </c>
      <c r="E94" s="1">
        <v>46055</v>
      </c>
      <c r="F94">
        <v>3</v>
      </c>
      <c r="G94">
        <v>1</v>
      </c>
      <c r="H94">
        <v>8</v>
      </c>
      <c r="I94">
        <v>11</v>
      </c>
      <c r="J94" t="s">
        <v>2366</v>
      </c>
      <c r="K94" t="s">
        <v>2011</v>
      </c>
      <c r="L94" t="s">
        <v>532</v>
      </c>
      <c r="M94" s="3" t="str">
        <f>HYPERLINK("https://ovidsp.ovid.com/ovidweb.cgi?T=JS&amp;NEWS=n&amp;CSC=Y&amp;PAGE=toc&amp;D=yrovft&amp;AN=01182575-000000000-00000","https://ovidsp.ovid.com/ovidweb.cgi?T=JS&amp;NEWS=n&amp;CSC=Y&amp;PAGE=toc&amp;D=yrovft&amp;AN=01182575-000000000-00000")</f>
        <v>https://ovidsp.ovid.com/ovidweb.cgi?T=JS&amp;NEWS=n&amp;CSC=Y&amp;PAGE=toc&amp;D=yrovft&amp;AN=01182575-000000000-00000</v>
      </c>
      <c r="N94" t="s">
        <v>2022</v>
      </c>
      <c r="O94" t="s">
        <v>2151</v>
      </c>
      <c r="P94" t="s">
        <v>2431</v>
      </c>
      <c r="Q94">
        <v>1428052</v>
      </c>
      <c r="R94" t="s">
        <v>481</v>
      </c>
      <c r="S94" t="s">
        <v>84</v>
      </c>
      <c r="T94" t="s">
        <v>2152</v>
      </c>
      <c r="U94" t="s">
        <v>468</v>
      </c>
      <c r="V94" t="b">
        <v>0</v>
      </c>
      <c r="W94" t="s">
        <v>2022</v>
      </c>
      <c r="X94" t="b">
        <v>0</v>
      </c>
      <c r="Y94" t="s">
        <v>2022</v>
      </c>
      <c r="Z94" t="s">
        <v>831</v>
      </c>
      <c r="AA94" t="s">
        <v>192</v>
      </c>
      <c r="AB94" t="s">
        <v>192</v>
      </c>
    </row>
    <row r="95" spans="1:28" x14ac:dyDescent="0.3">
      <c r="A95" t="s">
        <v>1712</v>
      </c>
      <c r="B95" t="s">
        <v>1353</v>
      </c>
      <c r="C95" t="s">
        <v>60</v>
      </c>
      <c r="D95" t="s">
        <v>44</v>
      </c>
      <c r="E95" s="1">
        <v>46055</v>
      </c>
      <c r="F95">
        <v>16</v>
      </c>
      <c r="G95">
        <v>1</v>
      </c>
      <c r="H95">
        <v>27</v>
      </c>
      <c r="I95">
        <v>2</v>
      </c>
      <c r="J95" t="s">
        <v>2585</v>
      </c>
      <c r="K95" t="s">
        <v>1959</v>
      </c>
      <c r="L95" t="s">
        <v>712</v>
      </c>
      <c r="M95" s="3" t="str">
        <f>HYPERLINK("https://ovidsp.ovid.com/ovidweb.cgi?T=JS&amp;NEWS=n&amp;CSC=Y&amp;PAGE=toc&amp;D=yrovft&amp;AN=01075922-000000000-00000","https://ovidsp.ovid.com/ovidweb.cgi?T=JS&amp;NEWS=n&amp;CSC=Y&amp;PAGE=toc&amp;D=yrovft&amp;AN=01075922-000000000-00000")</f>
        <v>https://ovidsp.ovid.com/ovidweb.cgi?T=JS&amp;NEWS=n&amp;CSC=Y&amp;PAGE=toc&amp;D=yrovft&amp;AN=01075922-000000000-00000</v>
      </c>
      <c r="N95" t="s">
        <v>2705</v>
      </c>
      <c r="O95" t="s">
        <v>2151</v>
      </c>
      <c r="P95" t="s">
        <v>2431</v>
      </c>
      <c r="Q95">
        <v>1428052</v>
      </c>
      <c r="R95" t="s">
        <v>2663</v>
      </c>
      <c r="S95" t="s">
        <v>84</v>
      </c>
      <c r="T95" t="s">
        <v>2152</v>
      </c>
      <c r="U95" t="s">
        <v>1152</v>
      </c>
      <c r="V95" t="b">
        <v>0</v>
      </c>
      <c r="W95" t="s">
        <v>2022</v>
      </c>
      <c r="X95" t="b">
        <v>0</v>
      </c>
      <c r="Y95" t="s">
        <v>2022</v>
      </c>
      <c r="Z95" t="s">
        <v>831</v>
      </c>
      <c r="AA95" t="s">
        <v>192</v>
      </c>
      <c r="AB95" t="s">
        <v>192</v>
      </c>
    </row>
    <row r="96" spans="1:28" x14ac:dyDescent="0.3">
      <c r="A96" t="s">
        <v>2195</v>
      </c>
      <c r="B96" t="s">
        <v>3124</v>
      </c>
      <c r="C96" t="s">
        <v>2556</v>
      </c>
      <c r="D96" t="s">
        <v>44</v>
      </c>
      <c r="E96" s="1">
        <v>46055</v>
      </c>
      <c r="F96">
        <v>10</v>
      </c>
      <c r="G96" t="s">
        <v>748</v>
      </c>
      <c r="H96">
        <v>31</v>
      </c>
      <c r="I96">
        <v>6</v>
      </c>
      <c r="J96" t="s">
        <v>2777</v>
      </c>
      <c r="K96" t="s">
        <v>2817</v>
      </c>
      <c r="L96" t="s">
        <v>2771</v>
      </c>
      <c r="M96" s="3" t="str">
        <f>HYPERLINK("https://ovidsp.ovid.com/ovidweb.cgi?T=JS&amp;NEWS=n&amp;CSC=Y&amp;PAGE=toc&amp;D=yrovft&amp;AN=00132979-000000000-00000","https://ovidsp.ovid.com/ovidweb.cgi?T=JS&amp;NEWS=n&amp;CSC=Y&amp;PAGE=toc&amp;D=yrovft&amp;AN=00132979-000000000-00000")</f>
        <v>https://ovidsp.ovid.com/ovidweb.cgi?T=JS&amp;NEWS=n&amp;CSC=Y&amp;PAGE=toc&amp;D=yrovft&amp;AN=00132979-000000000-00000</v>
      </c>
      <c r="N96" t="s">
        <v>113</v>
      </c>
      <c r="O96" t="s">
        <v>2151</v>
      </c>
      <c r="P96" t="s">
        <v>2431</v>
      </c>
      <c r="Q96">
        <v>1428052</v>
      </c>
      <c r="R96" t="s">
        <v>2908</v>
      </c>
      <c r="S96" t="s">
        <v>84</v>
      </c>
      <c r="T96" t="s">
        <v>2152</v>
      </c>
      <c r="U96" t="s">
        <v>471</v>
      </c>
      <c r="V96" t="b">
        <v>0</v>
      </c>
      <c r="W96" t="s">
        <v>2022</v>
      </c>
      <c r="X96" t="b">
        <v>0</v>
      </c>
      <c r="Y96" t="s">
        <v>2022</v>
      </c>
      <c r="Z96" t="s">
        <v>1351</v>
      </c>
      <c r="AA96" t="s">
        <v>192</v>
      </c>
      <c r="AB96" t="s">
        <v>192</v>
      </c>
    </row>
    <row r="97" spans="1:28" x14ac:dyDescent="0.3">
      <c r="A97" t="s">
        <v>289</v>
      </c>
      <c r="B97" t="s">
        <v>2387</v>
      </c>
      <c r="C97" t="s">
        <v>3158</v>
      </c>
      <c r="D97" t="s">
        <v>44</v>
      </c>
      <c r="E97" s="1">
        <v>46055</v>
      </c>
      <c r="F97">
        <v>34</v>
      </c>
      <c r="G97">
        <v>1</v>
      </c>
      <c r="H97">
        <v>45</v>
      </c>
      <c r="I97">
        <v>2</v>
      </c>
      <c r="J97" t="s">
        <v>2585</v>
      </c>
      <c r="K97" t="s">
        <v>1959</v>
      </c>
      <c r="L97" t="s">
        <v>712</v>
      </c>
      <c r="M97" s="3" t="str">
        <f>HYPERLINK("https://ovidsp.ovid.com/ovidweb.cgi?T=JS&amp;NEWS=n&amp;CSC=Y&amp;PAGE=toc&amp;D=yrovft&amp;AN=00003226-000000000-00000","https://ovidsp.ovid.com/ovidweb.cgi?T=JS&amp;NEWS=n&amp;CSC=Y&amp;PAGE=toc&amp;D=yrovft&amp;AN=00003226-000000000-00000")</f>
        <v>https://ovidsp.ovid.com/ovidweb.cgi?T=JS&amp;NEWS=n&amp;CSC=Y&amp;PAGE=toc&amp;D=yrovft&amp;AN=00003226-000000000-00000</v>
      </c>
      <c r="N97" t="s">
        <v>2040</v>
      </c>
      <c r="O97" t="s">
        <v>2151</v>
      </c>
      <c r="P97" t="s">
        <v>2431</v>
      </c>
      <c r="Q97">
        <v>1428052</v>
      </c>
      <c r="R97" t="s">
        <v>282</v>
      </c>
      <c r="S97" t="s">
        <v>84</v>
      </c>
      <c r="T97" t="s">
        <v>2152</v>
      </c>
      <c r="U97" t="s">
        <v>1783</v>
      </c>
      <c r="V97" t="b">
        <v>1</v>
      </c>
      <c r="W97" t="s">
        <v>2162</v>
      </c>
      <c r="X97" t="b">
        <v>0</v>
      </c>
      <c r="Y97" t="s">
        <v>2022</v>
      </c>
      <c r="Z97" t="s">
        <v>831</v>
      </c>
      <c r="AA97" t="s">
        <v>192</v>
      </c>
      <c r="AB97" t="s">
        <v>192</v>
      </c>
    </row>
    <row r="98" spans="1:28" x14ac:dyDescent="0.3">
      <c r="A98" t="s">
        <v>2200</v>
      </c>
      <c r="B98" t="s">
        <v>2022</v>
      </c>
      <c r="C98" t="s">
        <v>1509</v>
      </c>
      <c r="D98" t="s">
        <v>44</v>
      </c>
      <c r="E98" s="1">
        <v>46055</v>
      </c>
      <c r="F98">
        <v>1</v>
      </c>
      <c r="G98">
        <v>1</v>
      </c>
      <c r="H98">
        <v>4</v>
      </c>
      <c r="I98">
        <v>4</v>
      </c>
      <c r="J98" t="s">
        <v>2996</v>
      </c>
      <c r="K98" t="s">
        <v>180</v>
      </c>
      <c r="L98" t="s">
        <v>2771</v>
      </c>
      <c r="M98" s="3" t="str">
        <f>HYPERLINK("https://ovidsp.ovid.com/ovidweb.cgi?T=JS&amp;NEWS=n&amp;CSC=Y&amp;PAGE=toc&amp;D=yrovft&amp;AN=02273826-000000000-00000","https://ovidsp.ovid.com/ovidweb.cgi?T=JS&amp;NEWS=n&amp;CSC=Y&amp;PAGE=toc&amp;D=yrovft&amp;AN=02273826-000000000-00000")</f>
        <v>https://ovidsp.ovid.com/ovidweb.cgi?T=JS&amp;NEWS=n&amp;CSC=Y&amp;PAGE=toc&amp;D=yrovft&amp;AN=02273826-000000000-00000</v>
      </c>
      <c r="N98" t="s">
        <v>492</v>
      </c>
      <c r="O98" t="s">
        <v>2151</v>
      </c>
      <c r="P98" t="s">
        <v>2431</v>
      </c>
      <c r="Q98">
        <v>1428052</v>
      </c>
      <c r="R98" t="s">
        <v>893</v>
      </c>
      <c r="S98" t="s">
        <v>84</v>
      </c>
      <c r="T98" t="s">
        <v>2152</v>
      </c>
      <c r="U98" t="s">
        <v>1625</v>
      </c>
      <c r="V98" t="b">
        <v>0</v>
      </c>
      <c r="W98" t="s">
        <v>2022</v>
      </c>
      <c r="X98" t="b">
        <v>0</v>
      </c>
      <c r="Y98" t="s">
        <v>2022</v>
      </c>
      <c r="Z98" t="s">
        <v>1351</v>
      </c>
      <c r="AA98" t="s">
        <v>192</v>
      </c>
      <c r="AB98" t="s">
        <v>192</v>
      </c>
    </row>
    <row r="99" spans="1:28" x14ac:dyDescent="0.3">
      <c r="A99" t="s">
        <v>2805</v>
      </c>
      <c r="B99" t="s">
        <v>1478</v>
      </c>
      <c r="C99" t="s">
        <v>2498</v>
      </c>
      <c r="D99" t="s">
        <v>44</v>
      </c>
      <c r="E99" s="1">
        <v>46055</v>
      </c>
      <c r="F99">
        <v>26</v>
      </c>
      <c r="G99">
        <v>1</v>
      </c>
      <c r="H99">
        <v>37</v>
      </c>
      <c r="I99">
        <v>1</v>
      </c>
      <c r="J99" t="s">
        <v>672</v>
      </c>
      <c r="K99" t="s">
        <v>1959</v>
      </c>
      <c r="L99" t="s">
        <v>2919</v>
      </c>
      <c r="M99" s="3" t="str">
        <f>HYPERLINK("https://ovidsp.ovid.com/ovidweb.cgi?T=JS&amp;NEWS=n&amp;CSC=Y&amp;PAGE=toc&amp;D=yrovft&amp;AN=00019501-000000000-00000","https://ovidsp.ovid.com/ovidweb.cgi?T=JS&amp;NEWS=n&amp;CSC=Y&amp;PAGE=toc&amp;D=yrovft&amp;AN=00019501-000000000-00000")</f>
        <v>https://ovidsp.ovid.com/ovidweb.cgi?T=JS&amp;NEWS=n&amp;CSC=Y&amp;PAGE=toc&amp;D=yrovft&amp;AN=00019501-000000000-00000</v>
      </c>
      <c r="N99" t="s">
        <v>1450</v>
      </c>
      <c r="O99" t="s">
        <v>2151</v>
      </c>
      <c r="P99" t="s">
        <v>2431</v>
      </c>
      <c r="Q99">
        <v>1428052</v>
      </c>
      <c r="R99" t="s">
        <v>968</v>
      </c>
      <c r="S99" t="s">
        <v>84</v>
      </c>
      <c r="T99" t="s">
        <v>2152</v>
      </c>
      <c r="U99" t="s">
        <v>2803</v>
      </c>
      <c r="V99" t="b">
        <v>1</v>
      </c>
      <c r="W99" t="s">
        <v>535</v>
      </c>
      <c r="X99" t="b">
        <v>0</v>
      </c>
      <c r="Y99" t="s">
        <v>2022</v>
      </c>
      <c r="Z99" t="s">
        <v>1351</v>
      </c>
      <c r="AA99" t="s">
        <v>192</v>
      </c>
      <c r="AB99" t="s">
        <v>192</v>
      </c>
    </row>
    <row r="100" spans="1:28" x14ac:dyDescent="0.3">
      <c r="A100" t="s">
        <v>1180</v>
      </c>
      <c r="B100" t="s">
        <v>2022</v>
      </c>
      <c r="C100" t="s">
        <v>567</v>
      </c>
      <c r="D100" t="s">
        <v>44</v>
      </c>
      <c r="E100" s="1">
        <v>46055</v>
      </c>
      <c r="F100">
        <v>1</v>
      </c>
      <c r="G100">
        <v>1</v>
      </c>
      <c r="H100">
        <v>8</v>
      </c>
      <c r="I100">
        <v>2</v>
      </c>
      <c r="J100" t="s">
        <v>643</v>
      </c>
      <c r="K100" t="s">
        <v>2481</v>
      </c>
      <c r="L100" t="s">
        <v>712</v>
      </c>
      <c r="M100" s="3" t="str">
        <f>HYPERLINK("https://ovidsp.ovid.com/ovidweb.cgi?T=JS&amp;NEWS=n&amp;CSC=Y&amp;PAGE=toc&amp;D=yrovft&amp;AN=02107256-000000000-00000","https://ovidsp.ovid.com/ovidweb.cgi?T=JS&amp;NEWS=n&amp;CSC=Y&amp;PAGE=toc&amp;D=yrovft&amp;AN=02107256-000000000-00000")</f>
        <v>https://ovidsp.ovid.com/ovidweb.cgi?T=JS&amp;NEWS=n&amp;CSC=Y&amp;PAGE=toc&amp;D=yrovft&amp;AN=02107256-000000000-00000</v>
      </c>
      <c r="N100" t="s">
        <v>2543</v>
      </c>
      <c r="O100" t="s">
        <v>2151</v>
      </c>
      <c r="P100" t="s">
        <v>2431</v>
      </c>
      <c r="Q100">
        <v>1428052</v>
      </c>
      <c r="R100" t="s">
        <v>926</v>
      </c>
      <c r="S100" t="s">
        <v>84</v>
      </c>
      <c r="T100" t="s">
        <v>2152</v>
      </c>
      <c r="U100" t="s">
        <v>916</v>
      </c>
      <c r="V100" t="b">
        <v>0</v>
      </c>
      <c r="W100" t="s">
        <v>2022</v>
      </c>
      <c r="X100" t="b">
        <v>0</v>
      </c>
      <c r="Y100" t="s">
        <v>2022</v>
      </c>
      <c r="Z100" t="s">
        <v>2022</v>
      </c>
      <c r="AA100" t="s">
        <v>192</v>
      </c>
      <c r="AB100" t="s">
        <v>192</v>
      </c>
    </row>
    <row r="101" spans="1:28" x14ac:dyDescent="0.3">
      <c r="A101" t="s">
        <v>457</v>
      </c>
      <c r="B101" t="s">
        <v>732</v>
      </c>
      <c r="C101" t="s">
        <v>2472</v>
      </c>
      <c r="D101" t="s">
        <v>44</v>
      </c>
      <c r="E101" s="1">
        <v>46055</v>
      </c>
      <c r="F101">
        <v>43</v>
      </c>
      <c r="G101">
        <v>1</v>
      </c>
      <c r="H101">
        <v>54</v>
      </c>
      <c r="I101">
        <v>1</v>
      </c>
      <c r="J101" t="s">
        <v>672</v>
      </c>
      <c r="K101" t="s">
        <v>1959</v>
      </c>
      <c r="L101" t="s">
        <v>2919</v>
      </c>
      <c r="M101" s="3" t="str">
        <f>HYPERLINK("https://ovidsp.ovid.com/ovidweb.cgi?T=JS&amp;NEWS=n&amp;CSC=Y&amp;PAGE=toc&amp;D=yrovft&amp;AN=00003246-000000000-00000","https://ovidsp.ovid.com/ovidweb.cgi?T=JS&amp;NEWS=n&amp;CSC=Y&amp;PAGE=toc&amp;D=yrovft&amp;AN=00003246-000000000-00000")</f>
        <v>https://ovidsp.ovid.com/ovidweb.cgi?T=JS&amp;NEWS=n&amp;CSC=Y&amp;PAGE=toc&amp;D=yrovft&amp;AN=00003246-000000000-00000</v>
      </c>
      <c r="N101" t="s">
        <v>239</v>
      </c>
      <c r="O101" t="s">
        <v>2151</v>
      </c>
      <c r="P101" t="s">
        <v>2431</v>
      </c>
      <c r="Q101">
        <v>1428052</v>
      </c>
      <c r="R101" t="s">
        <v>2471</v>
      </c>
      <c r="S101" t="s">
        <v>84</v>
      </c>
      <c r="T101" t="s">
        <v>2152</v>
      </c>
      <c r="U101" t="s">
        <v>1016</v>
      </c>
      <c r="V101" t="b">
        <v>1</v>
      </c>
      <c r="W101" t="s">
        <v>2433</v>
      </c>
      <c r="X101" t="b">
        <v>0</v>
      </c>
      <c r="Y101" t="s">
        <v>2022</v>
      </c>
      <c r="Z101" t="s">
        <v>1351</v>
      </c>
      <c r="AA101" t="s">
        <v>192</v>
      </c>
      <c r="AB101" t="s">
        <v>192</v>
      </c>
    </row>
    <row r="102" spans="1:28" x14ac:dyDescent="0.3">
      <c r="A102" t="s">
        <v>1280</v>
      </c>
      <c r="B102" t="s">
        <v>1607</v>
      </c>
      <c r="C102" t="s">
        <v>1265</v>
      </c>
      <c r="D102" t="s">
        <v>44</v>
      </c>
      <c r="E102" s="1">
        <v>46055</v>
      </c>
      <c r="F102">
        <v>38</v>
      </c>
      <c r="G102">
        <v>1</v>
      </c>
      <c r="H102">
        <v>49</v>
      </c>
      <c r="I102">
        <v>1</v>
      </c>
      <c r="J102" t="s">
        <v>672</v>
      </c>
      <c r="K102" t="s">
        <v>1959</v>
      </c>
      <c r="L102" t="s">
        <v>2919</v>
      </c>
      <c r="M102" s="3" t="str">
        <f>HYPERLINK("https://ovidsp.ovid.com/ovidweb.cgi?T=JS&amp;NEWS=n&amp;CSC=Y&amp;PAGE=toc&amp;D=yrovft&amp;AN=00002727-000000000-00000","https://ovidsp.ovid.com/ovidweb.cgi?T=JS&amp;NEWS=n&amp;CSC=Y&amp;PAGE=toc&amp;D=yrovft&amp;AN=00002727-000000000-00000")</f>
        <v>https://ovidsp.ovid.com/ovidweb.cgi?T=JS&amp;NEWS=n&amp;CSC=Y&amp;PAGE=toc&amp;D=yrovft&amp;AN=00002727-000000000-00000</v>
      </c>
      <c r="N102" t="s">
        <v>3005</v>
      </c>
      <c r="O102" t="s">
        <v>2151</v>
      </c>
      <c r="P102" t="s">
        <v>2431</v>
      </c>
      <c r="Q102">
        <v>1428052</v>
      </c>
      <c r="R102" t="s">
        <v>374</v>
      </c>
      <c r="S102" t="s">
        <v>84</v>
      </c>
      <c r="T102" t="s">
        <v>2152</v>
      </c>
      <c r="U102" t="s">
        <v>1333</v>
      </c>
      <c r="V102" t="b">
        <v>0</v>
      </c>
      <c r="W102" t="s">
        <v>2022</v>
      </c>
      <c r="X102" t="b">
        <v>0</v>
      </c>
      <c r="Y102" t="s">
        <v>2022</v>
      </c>
      <c r="Z102" t="s">
        <v>2440</v>
      </c>
      <c r="AA102" t="s">
        <v>192</v>
      </c>
      <c r="AB102" t="s">
        <v>192</v>
      </c>
    </row>
    <row r="103" spans="1:28" x14ac:dyDescent="0.3">
      <c r="A103" t="s">
        <v>2429</v>
      </c>
      <c r="B103" t="s">
        <v>2022</v>
      </c>
      <c r="C103" t="s">
        <v>1367</v>
      </c>
      <c r="D103" t="s">
        <v>44</v>
      </c>
      <c r="E103" s="1">
        <v>46055</v>
      </c>
      <c r="F103">
        <v>14</v>
      </c>
      <c r="G103">
        <v>1</v>
      </c>
      <c r="H103">
        <v>24</v>
      </c>
      <c r="I103">
        <v>4</v>
      </c>
      <c r="J103" t="s">
        <v>1947</v>
      </c>
      <c r="K103" t="s">
        <v>2249</v>
      </c>
      <c r="L103" t="s">
        <v>2771</v>
      </c>
      <c r="M103" s="3" t="str">
        <f>HYPERLINK("https://ovidsp.ovid.com/ovidweb.cgi?T=JS&amp;NEWS=n&amp;CSC=Y&amp;PAGE=toc&amp;D=yrovft&amp;AN=00132577-000000000-00000","https://ovidsp.ovid.com/ovidweb.cgi?T=JS&amp;NEWS=n&amp;CSC=Y&amp;PAGE=toc&amp;D=yrovft&amp;AN=00132577-000000000-00000")</f>
        <v>https://ovidsp.ovid.com/ovidweb.cgi?T=JS&amp;NEWS=n&amp;CSC=Y&amp;PAGE=toc&amp;D=yrovft&amp;AN=00132577-000000000-00000</v>
      </c>
      <c r="N103" t="s">
        <v>1646</v>
      </c>
      <c r="O103" t="s">
        <v>2151</v>
      </c>
      <c r="P103" t="s">
        <v>2431</v>
      </c>
      <c r="Q103">
        <v>1428052</v>
      </c>
      <c r="R103" t="s">
        <v>2108</v>
      </c>
      <c r="S103" t="s">
        <v>84</v>
      </c>
      <c r="T103" t="s">
        <v>2152</v>
      </c>
      <c r="U103" t="s">
        <v>1592</v>
      </c>
      <c r="V103" t="b">
        <v>1</v>
      </c>
      <c r="W103" t="s">
        <v>882</v>
      </c>
      <c r="X103" t="b">
        <v>0</v>
      </c>
      <c r="Y103" t="s">
        <v>2022</v>
      </c>
      <c r="Z103" t="s">
        <v>1351</v>
      </c>
      <c r="AA103" t="s">
        <v>192</v>
      </c>
      <c r="AB103" t="s">
        <v>192</v>
      </c>
    </row>
    <row r="104" spans="1:28" x14ac:dyDescent="0.3">
      <c r="A104" t="s">
        <v>327</v>
      </c>
      <c r="B104" t="s">
        <v>2022</v>
      </c>
      <c r="C104" t="s">
        <v>2809</v>
      </c>
      <c r="D104" t="s">
        <v>44</v>
      </c>
      <c r="E104" s="1">
        <v>46055</v>
      </c>
      <c r="F104">
        <v>15</v>
      </c>
      <c r="G104">
        <v>1</v>
      </c>
      <c r="H104">
        <v>26</v>
      </c>
      <c r="I104">
        <v>1</v>
      </c>
      <c r="J104" t="s">
        <v>1878</v>
      </c>
      <c r="K104" t="s">
        <v>1525</v>
      </c>
      <c r="L104" t="s">
        <v>712</v>
      </c>
      <c r="M104" s="3" t="str">
        <f>HYPERLINK("https://ovidsp.ovid.com/ovidweb.cgi?T=JS&amp;NEWS=n&amp;CSC=Y&amp;PAGE=toc&amp;D=yrovft&amp;AN=00130832-000000000-00000","https://ovidsp.ovid.com/ovidweb.cgi?T=JS&amp;NEWS=n&amp;CSC=Y&amp;PAGE=toc&amp;D=yrovft&amp;AN=00130832-000000000-00000")</f>
        <v>https://ovidsp.ovid.com/ovidweb.cgi?T=JS&amp;NEWS=n&amp;CSC=Y&amp;PAGE=toc&amp;D=yrovft&amp;AN=00130832-000000000-00000</v>
      </c>
      <c r="N104" t="s">
        <v>1612</v>
      </c>
      <c r="O104" t="s">
        <v>2151</v>
      </c>
      <c r="P104" t="s">
        <v>2431</v>
      </c>
      <c r="Q104">
        <v>1428052</v>
      </c>
      <c r="R104" t="s">
        <v>1374</v>
      </c>
      <c r="S104" t="s">
        <v>84</v>
      </c>
      <c r="T104" t="s">
        <v>2152</v>
      </c>
      <c r="U104" t="s">
        <v>995</v>
      </c>
      <c r="V104" t="b">
        <v>1</v>
      </c>
      <c r="W104" t="s">
        <v>805</v>
      </c>
      <c r="X104" t="b">
        <v>0</v>
      </c>
      <c r="Y104" t="s">
        <v>2022</v>
      </c>
      <c r="Z104" t="s">
        <v>1413</v>
      </c>
      <c r="AA104" t="s">
        <v>192</v>
      </c>
      <c r="AB104" t="s">
        <v>192</v>
      </c>
    </row>
    <row r="105" spans="1:28" x14ac:dyDescent="0.3">
      <c r="A105" t="s">
        <v>1468</v>
      </c>
      <c r="B105" t="s">
        <v>1526</v>
      </c>
      <c r="C105" t="s">
        <v>2513</v>
      </c>
      <c r="D105" t="s">
        <v>44</v>
      </c>
      <c r="E105" s="1">
        <v>46055</v>
      </c>
      <c r="F105">
        <v>28</v>
      </c>
      <c r="G105">
        <v>1</v>
      </c>
      <c r="H105">
        <v>39</v>
      </c>
      <c r="I105">
        <v>1</v>
      </c>
      <c r="J105" t="s">
        <v>1878</v>
      </c>
      <c r="K105" t="s">
        <v>1525</v>
      </c>
      <c r="L105" t="s">
        <v>712</v>
      </c>
      <c r="M105" s="3" t="str">
        <f>HYPERLINK("https://ovidsp.ovid.com/ovidweb.cgi?T=JS&amp;NEWS=n&amp;CSC=Y&amp;PAGE=toc&amp;D=yrovft&amp;AN=00001503-000000000-00000","https://ovidsp.ovid.com/ovidweb.cgi?T=JS&amp;NEWS=n&amp;CSC=Y&amp;PAGE=toc&amp;D=yrovft&amp;AN=00001503-000000000-00000")</f>
        <v>https://ovidsp.ovid.com/ovidweb.cgi?T=JS&amp;NEWS=n&amp;CSC=Y&amp;PAGE=toc&amp;D=yrovft&amp;AN=00001503-000000000-00000</v>
      </c>
      <c r="N105" t="s">
        <v>2558</v>
      </c>
      <c r="O105" t="s">
        <v>2151</v>
      </c>
      <c r="P105" t="s">
        <v>2431</v>
      </c>
      <c r="Q105">
        <v>1428052</v>
      </c>
      <c r="R105" t="s">
        <v>591</v>
      </c>
      <c r="S105" t="s">
        <v>84</v>
      </c>
      <c r="T105" t="s">
        <v>2152</v>
      </c>
      <c r="U105" t="s">
        <v>671</v>
      </c>
      <c r="V105" t="b">
        <v>1</v>
      </c>
      <c r="W105" t="s">
        <v>418</v>
      </c>
      <c r="X105" t="b">
        <v>0</v>
      </c>
      <c r="Y105" t="s">
        <v>2022</v>
      </c>
      <c r="Z105" t="s">
        <v>2440</v>
      </c>
      <c r="AA105" t="s">
        <v>192</v>
      </c>
      <c r="AB105" t="s">
        <v>192</v>
      </c>
    </row>
    <row r="106" spans="1:28" x14ac:dyDescent="0.3">
      <c r="A106" t="s">
        <v>368</v>
      </c>
      <c r="B106" t="s">
        <v>226</v>
      </c>
      <c r="C106" t="s">
        <v>1422</v>
      </c>
      <c r="D106" t="s">
        <v>44</v>
      </c>
      <c r="E106" s="1">
        <v>46055</v>
      </c>
      <c r="F106">
        <v>30</v>
      </c>
      <c r="G106">
        <v>1</v>
      </c>
      <c r="H106">
        <v>41</v>
      </c>
      <c r="I106">
        <v>1</v>
      </c>
      <c r="J106" t="s">
        <v>672</v>
      </c>
      <c r="K106" t="s">
        <v>1959</v>
      </c>
      <c r="L106" t="s">
        <v>2919</v>
      </c>
      <c r="M106" s="3" t="str">
        <f>HYPERLINK("https://ovidsp.ovid.com/ovidweb.cgi?T=JS&amp;NEWS=n&amp;CSC=Y&amp;PAGE=toc&amp;D=yrovft&amp;AN=00001573-000000000-00000","https://ovidsp.ovid.com/ovidweb.cgi?T=JS&amp;NEWS=n&amp;CSC=Y&amp;PAGE=toc&amp;D=yrovft&amp;AN=00001573-000000000-00000")</f>
        <v>https://ovidsp.ovid.com/ovidweb.cgi?T=JS&amp;NEWS=n&amp;CSC=Y&amp;PAGE=toc&amp;D=yrovft&amp;AN=00001573-000000000-00000</v>
      </c>
      <c r="N106" t="s">
        <v>2669</v>
      </c>
      <c r="O106" t="s">
        <v>2151</v>
      </c>
      <c r="P106" t="s">
        <v>2431</v>
      </c>
      <c r="Q106">
        <v>1428052</v>
      </c>
      <c r="R106" t="s">
        <v>2409</v>
      </c>
      <c r="S106" t="s">
        <v>84</v>
      </c>
      <c r="T106" t="s">
        <v>2152</v>
      </c>
      <c r="U106" t="s">
        <v>1823</v>
      </c>
      <c r="V106" t="b">
        <v>1</v>
      </c>
      <c r="W106" t="s">
        <v>950</v>
      </c>
      <c r="X106" t="b">
        <v>0</v>
      </c>
      <c r="Y106" t="s">
        <v>2022</v>
      </c>
      <c r="Z106" t="s">
        <v>1351</v>
      </c>
      <c r="AA106" t="s">
        <v>192</v>
      </c>
      <c r="AB106" t="s">
        <v>192</v>
      </c>
    </row>
    <row r="107" spans="1:28" x14ac:dyDescent="0.3">
      <c r="A107" t="s">
        <v>1773</v>
      </c>
      <c r="B107" t="s">
        <v>2022</v>
      </c>
      <c r="C107" t="s">
        <v>2350</v>
      </c>
      <c r="D107" t="s">
        <v>44</v>
      </c>
      <c r="E107" s="1">
        <v>46055</v>
      </c>
      <c r="F107">
        <v>18</v>
      </c>
      <c r="G107">
        <v>1</v>
      </c>
      <c r="H107">
        <v>29</v>
      </c>
      <c r="I107">
        <v>1</v>
      </c>
      <c r="J107" t="s">
        <v>672</v>
      </c>
      <c r="K107" t="s">
        <v>1959</v>
      </c>
      <c r="L107" t="s">
        <v>2919</v>
      </c>
      <c r="M107" s="3" t="str">
        <f>HYPERLINK("https://ovidsp.ovid.com/ovidweb.cgi?T=JS&amp;NEWS=n&amp;CSC=Y&amp;PAGE=toc&amp;D=yrovft&amp;AN=00075197-000000000-00000","https://ovidsp.ovid.com/ovidweb.cgi?T=JS&amp;NEWS=n&amp;CSC=Y&amp;PAGE=toc&amp;D=yrovft&amp;AN=00075197-000000000-00000")</f>
        <v>https://ovidsp.ovid.com/ovidweb.cgi?T=JS&amp;NEWS=n&amp;CSC=Y&amp;PAGE=toc&amp;D=yrovft&amp;AN=00075197-000000000-00000</v>
      </c>
      <c r="N107" t="s">
        <v>2966</v>
      </c>
      <c r="O107" t="s">
        <v>2151</v>
      </c>
      <c r="P107" t="s">
        <v>2431</v>
      </c>
      <c r="Q107">
        <v>1428052</v>
      </c>
      <c r="R107" t="s">
        <v>2167</v>
      </c>
      <c r="S107" t="s">
        <v>84</v>
      </c>
      <c r="T107" t="s">
        <v>2152</v>
      </c>
      <c r="U107" t="s">
        <v>2954</v>
      </c>
      <c r="V107" t="b">
        <v>1</v>
      </c>
      <c r="W107" t="s">
        <v>1164</v>
      </c>
      <c r="X107" t="b">
        <v>0</v>
      </c>
      <c r="Y107" t="s">
        <v>2022</v>
      </c>
      <c r="Z107" t="s">
        <v>1351</v>
      </c>
      <c r="AA107" t="s">
        <v>192</v>
      </c>
      <c r="AB107" t="s">
        <v>192</v>
      </c>
    </row>
    <row r="108" spans="1:28" x14ac:dyDescent="0.3">
      <c r="A108" t="s">
        <v>3073</v>
      </c>
      <c r="B108" t="s">
        <v>453</v>
      </c>
      <c r="C108" t="s">
        <v>1733</v>
      </c>
      <c r="D108" t="s">
        <v>44</v>
      </c>
      <c r="E108" s="1">
        <v>46055</v>
      </c>
      <c r="F108">
        <v>21</v>
      </c>
      <c r="G108">
        <v>1</v>
      </c>
      <c r="H108">
        <v>32</v>
      </c>
      <c r="I108">
        <v>1</v>
      </c>
      <c r="J108" t="s">
        <v>1878</v>
      </c>
      <c r="K108" t="s">
        <v>1525</v>
      </c>
      <c r="L108" t="s">
        <v>712</v>
      </c>
      <c r="M108" s="3" t="str">
        <f>HYPERLINK("https://ovidsp.ovid.com/ovidweb.cgi?T=JS&amp;NEWS=n&amp;CSC=Y&amp;PAGE=toc&amp;D=yrovft&amp;AN=00075198-000000000-00000","https://ovidsp.ovid.com/ovidweb.cgi?T=JS&amp;NEWS=n&amp;CSC=Y&amp;PAGE=toc&amp;D=yrovft&amp;AN=00075198-000000000-00000")</f>
        <v>https://ovidsp.ovid.com/ovidweb.cgi?T=JS&amp;NEWS=n&amp;CSC=Y&amp;PAGE=toc&amp;D=yrovft&amp;AN=00075198-000000000-00000</v>
      </c>
      <c r="N108" t="s">
        <v>2410</v>
      </c>
      <c r="O108" t="s">
        <v>2151</v>
      </c>
      <c r="P108" t="s">
        <v>2431</v>
      </c>
      <c r="Q108">
        <v>1428052</v>
      </c>
      <c r="R108" t="s">
        <v>2262</v>
      </c>
      <c r="S108" t="s">
        <v>84</v>
      </c>
      <c r="T108" t="s">
        <v>2152</v>
      </c>
      <c r="U108" t="s">
        <v>2028</v>
      </c>
      <c r="V108" t="b">
        <v>1</v>
      </c>
      <c r="W108" t="s">
        <v>1948</v>
      </c>
      <c r="X108" t="b">
        <v>0</v>
      </c>
      <c r="Y108" t="s">
        <v>2022</v>
      </c>
      <c r="Z108" t="s">
        <v>1351</v>
      </c>
      <c r="AA108" t="s">
        <v>192</v>
      </c>
      <c r="AB108" t="s">
        <v>192</v>
      </c>
    </row>
    <row r="109" spans="1:28" x14ac:dyDescent="0.3">
      <c r="A109" t="s">
        <v>2524</v>
      </c>
      <c r="B109" t="s">
        <v>2379</v>
      </c>
      <c r="C109" t="s">
        <v>1678</v>
      </c>
      <c r="D109" t="s">
        <v>44</v>
      </c>
      <c r="E109" s="1">
        <v>46055</v>
      </c>
      <c r="F109">
        <v>22</v>
      </c>
      <c r="G109">
        <v>1</v>
      </c>
      <c r="H109">
        <v>33</v>
      </c>
      <c r="I109">
        <v>1</v>
      </c>
      <c r="J109" t="s">
        <v>1878</v>
      </c>
      <c r="K109" t="s">
        <v>1525</v>
      </c>
      <c r="L109" t="s">
        <v>712</v>
      </c>
      <c r="M109" s="3" t="str">
        <f>HYPERLINK("https://ovidsp.ovid.com/ovidweb.cgi?T=JS&amp;NEWS=n&amp;CSC=Y&amp;PAGE=toc&amp;D=yrovft&amp;AN=01266029-000000000-00000","https://ovidsp.ovid.com/ovidweb.cgi?T=JS&amp;NEWS=n&amp;CSC=Y&amp;PAGE=toc&amp;D=yrovft&amp;AN=01266029-000000000-00000")</f>
        <v>https://ovidsp.ovid.com/ovidweb.cgi?T=JS&amp;NEWS=n&amp;CSC=Y&amp;PAGE=toc&amp;D=yrovft&amp;AN=01266029-000000000-00000</v>
      </c>
      <c r="N109" t="s">
        <v>884</v>
      </c>
      <c r="O109" t="s">
        <v>2151</v>
      </c>
      <c r="P109" t="s">
        <v>2431</v>
      </c>
      <c r="Q109">
        <v>1428052</v>
      </c>
      <c r="R109" t="s">
        <v>1720</v>
      </c>
      <c r="S109" t="s">
        <v>84</v>
      </c>
      <c r="T109" t="s">
        <v>2152</v>
      </c>
      <c r="U109" t="s">
        <v>196</v>
      </c>
      <c r="V109" t="b">
        <v>1</v>
      </c>
      <c r="W109" t="s">
        <v>2485</v>
      </c>
      <c r="X109" t="b">
        <v>0</v>
      </c>
      <c r="Y109" t="s">
        <v>2022</v>
      </c>
      <c r="Z109" t="s">
        <v>831</v>
      </c>
      <c r="AA109" t="s">
        <v>192</v>
      </c>
      <c r="AB109" t="s">
        <v>192</v>
      </c>
    </row>
    <row r="110" spans="1:28" x14ac:dyDescent="0.3">
      <c r="A110" t="s">
        <v>2784</v>
      </c>
      <c r="B110" t="s">
        <v>1405</v>
      </c>
      <c r="C110" t="s">
        <v>1405</v>
      </c>
      <c r="D110" t="s">
        <v>44</v>
      </c>
      <c r="E110" s="1">
        <v>46055</v>
      </c>
      <c r="F110">
        <v>1</v>
      </c>
      <c r="G110">
        <v>1</v>
      </c>
      <c r="H110">
        <v>4</v>
      </c>
      <c r="I110">
        <v>4</v>
      </c>
      <c r="J110" t="s">
        <v>2353</v>
      </c>
      <c r="K110" t="s">
        <v>516</v>
      </c>
      <c r="L110" t="s">
        <v>2771</v>
      </c>
      <c r="M110" s="3" t="str">
        <f>HYPERLINK("https://ovidsp.ovid.com/ovidweb.cgi?T=JS&amp;NEWS=n&amp;CSC=Y&amp;PAGE=toc&amp;D=yrovft&amp;AN=02238388-000000000-00000","https://ovidsp.ovid.com/ovidweb.cgi?T=JS&amp;NEWS=n&amp;CSC=Y&amp;PAGE=toc&amp;D=yrovft&amp;AN=02238388-000000000-00000")</f>
        <v>https://ovidsp.ovid.com/ovidweb.cgi?T=JS&amp;NEWS=n&amp;CSC=Y&amp;PAGE=toc&amp;D=yrovft&amp;AN=02238388-000000000-00000</v>
      </c>
      <c r="N110" t="s">
        <v>3127</v>
      </c>
      <c r="O110" t="s">
        <v>2151</v>
      </c>
      <c r="P110" t="s">
        <v>2431</v>
      </c>
      <c r="Q110">
        <v>1428052</v>
      </c>
      <c r="R110" t="s">
        <v>25</v>
      </c>
      <c r="S110" t="s">
        <v>84</v>
      </c>
      <c r="T110" t="s">
        <v>2152</v>
      </c>
      <c r="U110" t="s">
        <v>1456</v>
      </c>
      <c r="V110" t="b">
        <v>1</v>
      </c>
      <c r="W110" t="s">
        <v>2068</v>
      </c>
      <c r="X110" t="b">
        <v>0</v>
      </c>
      <c r="Y110" t="s">
        <v>2022</v>
      </c>
      <c r="Z110" t="s">
        <v>1078</v>
      </c>
      <c r="AA110" t="s">
        <v>192</v>
      </c>
      <c r="AB110" t="s">
        <v>192</v>
      </c>
    </row>
    <row r="111" spans="1:28" x14ac:dyDescent="0.3">
      <c r="A111" t="s">
        <v>1815</v>
      </c>
      <c r="B111" t="s">
        <v>2022</v>
      </c>
      <c r="C111" t="s">
        <v>155</v>
      </c>
      <c r="D111" t="s">
        <v>44</v>
      </c>
      <c r="E111" s="1">
        <v>46055</v>
      </c>
      <c r="F111">
        <v>31</v>
      </c>
      <c r="G111">
        <v>1</v>
      </c>
      <c r="H111">
        <v>42</v>
      </c>
      <c r="I111">
        <v>1</v>
      </c>
      <c r="J111" t="s">
        <v>672</v>
      </c>
      <c r="K111" t="s">
        <v>1959</v>
      </c>
      <c r="L111" t="s">
        <v>2919</v>
      </c>
      <c r="M111" s="3" t="str">
        <f>HYPERLINK("https://ovidsp.ovid.com/ovidweb.cgi?T=JS&amp;NEWS=n&amp;CSC=Y&amp;PAGE=toc&amp;D=yrovft&amp;AN=00001574-000000000-00000","https://ovidsp.ovid.com/ovidweb.cgi?T=JS&amp;NEWS=n&amp;CSC=Y&amp;PAGE=toc&amp;D=yrovft&amp;AN=00001574-000000000-00000")</f>
        <v>https://ovidsp.ovid.com/ovidweb.cgi?T=JS&amp;NEWS=n&amp;CSC=Y&amp;PAGE=toc&amp;D=yrovft&amp;AN=00001574-000000000-00000</v>
      </c>
      <c r="N111" t="s">
        <v>1467</v>
      </c>
      <c r="O111" t="s">
        <v>2151</v>
      </c>
      <c r="P111" t="s">
        <v>2431</v>
      </c>
      <c r="Q111">
        <v>1428052</v>
      </c>
      <c r="R111" t="s">
        <v>1368</v>
      </c>
      <c r="S111" t="s">
        <v>84</v>
      </c>
      <c r="T111" t="s">
        <v>2152</v>
      </c>
      <c r="U111" t="s">
        <v>2702</v>
      </c>
      <c r="V111" t="b">
        <v>1</v>
      </c>
      <c r="W111" t="s">
        <v>407</v>
      </c>
      <c r="X111" t="b">
        <v>0</v>
      </c>
      <c r="Y111" t="s">
        <v>2022</v>
      </c>
      <c r="Z111" t="s">
        <v>1351</v>
      </c>
      <c r="AA111" t="s">
        <v>192</v>
      </c>
      <c r="AB111" t="s">
        <v>192</v>
      </c>
    </row>
    <row r="112" spans="1:28" x14ac:dyDescent="0.3">
      <c r="A112" t="s">
        <v>1314</v>
      </c>
      <c r="B112" t="s">
        <v>2813</v>
      </c>
      <c r="C112" t="s">
        <v>2352</v>
      </c>
      <c r="D112" t="s">
        <v>44</v>
      </c>
      <c r="E112" s="1">
        <v>46055</v>
      </c>
      <c r="F112">
        <v>22</v>
      </c>
      <c r="G112">
        <v>1</v>
      </c>
      <c r="H112">
        <v>33</v>
      </c>
      <c r="I112">
        <v>2</v>
      </c>
      <c r="J112" t="s">
        <v>359</v>
      </c>
      <c r="K112" t="s">
        <v>1959</v>
      </c>
      <c r="L112" t="s">
        <v>2441</v>
      </c>
      <c r="M112" s="3" t="str">
        <f>HYPERLINK("https://ovidsp.ovid.com/ovidweb.cgi?T=JS&amp;NEWS=n&amp;CSC=Y&amp;PAGE=toc&amp;D=yrovft&amp;AN=00062752-000000000-00000","https://ovidsp.ovid.com/ovidweb.cgi?T=JS&amp;NEWS=n&amp;CSC=Y&amp;PAGE=toc&amp;D=yrovft&amp;AN=00062752-000000000-00000")</f>
        <v>https://ovidsp.ovid.com/ovidweb.cgi?T=JS&amp;NEWS=n&amp;CSC=Y&amp;PAGE=toc&amp;D=yrovft&amp;AN=00062752-000000000-00000</v>
      </c>
      <c r="N112" t="s">
        <v>622</v>
      </c>
      <c r="O112" t="s">
        <v>2151</v>
      </c>
      <c r="P112" t="s">
        <v>2431</v>
      </c>
      <c r="Q112">
        <v>1428052</v>
      </c>
      <c r="R112" t="s">
        <v>2383</v>
      </c>
      <c r="S112" t="s">
        <v>84</v>
      </c>
      <c r="T112" t="s">
        <v>2152</v>
      </c>
      <c r="U112" t="s">
        <v>1190</v>
      </c>
      <c r="V112" t="b">
        <v>1</v>
      </c>
      <c r="W112" t="s">
        <v>1462</v>
      </c>
      <c r="X112" t="b">
        <v>0</v>
      </c>
      <c r="Y112" t="s">
        <v>2022</v>
      </c>
      <c r="Z112" t="s">
        <v>2440</v>
      </c>
      <c r="AA112" t="s">
        <v>192</v>
      </c>
      <c r="AB112" t="s">
        <v>192</v>
      </c>
    </row>
    <row r="113" spans="1:28" x14ac:dyDescent="0.3">
      <c r="A113" t="s">
        <v>2532</v>
      </c>
      <c r="B113" t="s">
        <v>810</v>
      </c>
      <c r="C113" t="s">
        <v>644</v>
      </c>
      <c r="D113" t="s">
        <v>44</v>
      </c>
      <c r="E113" s="1">
        <v>46055</v>
      </c>
      <c r="F113">
        <v>10</v>
      </c>
      <c r="G113">
        <v>1</v>
      </c>
      <c r="H113">
        <v>21</v>
      </c>
      <c r="I113">
        <v>1</v>
      </c>
      <c r="J113" t="s">
        <v>672</v>
      </c>
      <c r="K113" t="s">
        <v>1959</v>
      </c>
      <c r="L113" t="s">
        <v>2919</v>
      </c>
      <c r="M113" s="3" t="str">
        <f>HYPERLINK("https://ovidsp.ovid.com/ovidweb.cgi?T=JS&amp;NEWS=n&amp;CSC=Y&amp;PAGE=toc&amp;D=yrovft&amp;AN=01222929-000000000-00000","https://ovidsp.ovid.com/ovidweb.cgi?T=JS&amp;NEWS=n&amp;CSC=Y&amp;PAGE=toc&amp;D=yrovft&amp;AN=01222929-000000000-00000")</f>
        <v>https://ovidsp.ovid.com/ovidweb.cgi?T=JS&amp;NEWS=n&amp;CSC=Y&amp;PAGE=toc&amp;D=yrovft&amp;AN=01222929-000000000-00000</v>
      </c>
      <c r="N113" t="s">
        <v>1097</v>
      </c>
      <c r="O113" t="s">
        <v>2151</v>
      </c>
      <c r="P113" t="s">
        <v>2431</v>
      </c>
      <c r="Q113">
        <v>1428052</v>
      </c>
      <c r="R113" t="s">
        <v>2916</v>
      </c>
      <c r="S113" t="s">
        <v>84</v>
      </c>
      <c r="T113" t="s">
        <v>2152</v>
      </c>
      <c r="U113" t="s">
        <v>1163</v>
      </c>
      <c r="V113" t="b">
        <v>1</v>
      </c>
      <c r="W113" t="s">
        <v>2964</v>
      </c>
      <c r="X113" t="b">
        <v>0</v>
      </c>
      <c r="Y113" t="s">
        <v>2022</v>
      </c>
      <c r="Z113" t="s">
        <v>2160</v>
      </c>
      <c r="AA113" t="s">
        <v>192</v>
      </c>
      <c r="AB113" t="s">
        <v>192</v>
      </c>
    </row>
    <row r="114" spans="1:28" x14ac:dyDescent="0.3">
      <c r="A114" t="s">
        <v>2755</v>
      </c>
      <c r="B114" t="s">
        <v>1110</v>
      </c>
      <c r="C114" t="s">
        <v>1315</v>
      </c>
      <c r="D114" t="s">
        <v>44</v>
      </c>
      <c r="E114" s="1">
        <v>46055</v>
      </c>
      <c r="F114">
        <v>28</v>
      </c>
      <c r="G114">
        <v>1</v>
      </c>
      <c r="H114">
        <v>39</v>
      </c>
      <c r="I114">
        <v>1</v>
      </c>
      <c r="J114" t="s">
        <v>1878</v>
      </c>
      <c r="K114" t="s">
        <v>1525</v>
      </c>
      <c r="L114" t="s">
        <v>712</v>
      </c>
      <c r="M114" s="3" t="str">
        <f>HYPERLINK("https://ovidsp.ovid.com/ovidweb.cgi?T=JS&amp;NEWS=n&amp;CSC=Y&amp;PAGE=toc&amp;D=yrovft&amp;AN=00001432-000000000-00000","https://ovidsp.ovid.com/ovidweb.cgi?T=JS&amp;NEWS=n&amp;CSC=Y&amp;PAGE=toc&amp;D=yrovft&amp;AN=00001432-000000000-00000")</f>
        <v>https://ovidsp.ovid.com/ovidweb.cgi?T=JS&amp;NEWS=n&amp;CSC=Y&amp;PAGE=toc&amp;D=yrovft&amp;AN=00001432-000000000-00000</v>
      </c>
      <c r="N114" t="s">
        <v>340</v>
      </c>
      <c r="O114" t="s">
        <v>2151</v>
      </c>
      <c r="P114" t="s">
        <v>2431</v>
      </c>
      <c r="Q114">
        <v>1428052</v>
      </c>
      <c r="R114" t="s">
        <v>1441</v>
      </c>
      <c r="S114" t="s">
        <v>84</v>
      </c>
      <c r="T114" t="s">
        <v>2152</v>
      </c>
      <c r="U114" t="s">
        <v>813</v>
      </c>
      <c r="V114" t="b">
        <v>1</v>
      </c>
      <c r="W114" t="s">
        <v>2186</v>
      </c>
      <c r="X114" t="b">
        <v>0</v>
      </c>
      <c r="Y114" t="s">
        <v>2022</v>
      </c>
      <c r="Z114" t="s">
        <v>1351</v>
      </c>
      <c r="AA114" t="s">
        <v>192</v>
      </c>
      <c r="AB114" t="s">
        <v>192</v>
      </c>
    </row>
    <row r="115" spans="1:28" x14ac:dyDescent="0.3">
      <c r="A115" t="s">
        <v>1142</v>
      </c>
      <c r="B115" t="s">
        <v>2357</v>
      </c>
      <c r="C115" t="s">
        <v>175</v>
      </c>
      <c r="D115" t="s">
        <v>44</v>
      </c>
      <c r="E115" s="1">
        <v>46055</v>
      </c>
      <c r="F115">
        <v>26</v>
      </c>
      <c r="G115">
        <v>1</v>
      </c>
      <c r="H115">
        <v>37</v>
      </c>
      <c r="I115">
        <v>1</v>
      </c>
      <c r="J115" t="s">
        <v>1878</v>
      </c>
      <c r="K115" t="s">
        <v>1525</v>
      </c>
      <c r="L115" t="s">
        <v>712</v>
      </c>
      <c r="M115" s="3" t="str">
        <f>HYPERLINK("https://ovidsp.ovid.com/ovidweb.cgi?T=JS&amp;NEWS=n&amp;CSC=Y&amp;PAGE=toc&amp;D=yrovft&amp;AN=00041433-000000000-00000","https://ovidsp.ovid.com/ovidweb.cgi?T=JS&amp;NEWS=n&amp;CSC=Y&amp;PAGE=toc&amp;D=yrovft&amp;AN=00041433-000000000-00000")</f>
        <v>https://ovidsp.ovid.com/ovidweb.cgi?T=JS&amp;NEWS=n&amp;CSC=Y&amp;PAGE=toc&amp;D=yrovft&amp;AN=00041433-000000000-00000</v>
      </c>
      <c r="N115" t="s">
        <v>1245</v>
      </c>
      <c r="O115" t="s">
        <v>2151</v>
      </c>
      <c r="P115" t="s">
        <v>2431</v>
      </c>
      <c r="Q115">
        <v>1428052</v>
      </c>
      <c r="R115" t="s">
        <v>2806</v>
      </c>
      <c r="S115" t="s">
        <v>84</v>
      </c>
      <c r="T115" t="s">
        <v>2152</v>
      </c>
      <c r="U115" t="s">
        <v>1325</v>
      </c>
      <c r="V115" t="b">
        <v>1</v>
      </c>
      <c r="W115" t="s">
        <v>3020</v>
      </c>
      <c r="X115" t="b">
        <v>0</v>
      </c>
      <c r="Y115" t="s">
        <v>2022</v>
      </c>
      <c r="Z115" t="s">
        <v>1351</v>
      </c>
      <c r="AA115" t="s">
        <v>192</v>
      </c>
      <c r="AB115" t="s">
        <v>192</v>
      </c>
    </row>
    <row r="116" spans="1:28" x14ac:dyDescent="0.3">
      <c r="A116" t="s">
        <v>2226</v>
      </c>
      <c r="B116" t="s">
        <v>999</v>
      </c>
      <c r="C116" t="s">
        <v>34</v>
      </c>
      <c r="D116" t="s">
        <v>44</v>
      </c>
      <c r="E116" s="1">
        <v>46055</v>
      </c>
      <c r="F116">
        <v>24</v>
      </c>
      <c r="G116">
        <v>1</v>
      </c>
      <c r="H116">
        <v>35</v>
      </c>
      <c r="I116">
        <v>2</v>
      </c>
      <c r="J116" t="s">
        <v>359</v>
      </c>
      <c r="K116" t="s">
        <v>1959</v>
      </c>
      <c r="L116" t="s">
        <v>2441</v>
      </c>
      <c r="M116" s="3" t="str">
        <f>HYPERLINK("https://ovidsp.ovid.com/ovidweb.cgi?T=JS&amp;NEWS=n&amp;CSC=Y&amp;PAGE=toc&amp;D=yrovft&amp;AN=00041552-000000000-00000","https://ovidsp.ovid.com/ovidweb.cgi?T=JS&amp;NEWS=n&amp;CSC=Y&amp;PAGE=toc&amp;D=yrovft&amp;AN=00041552-000000000-00000")</f>
        <v>https://ovidsp.ovid.com/ovidweb.cgi?T=JS&amp;NEWS=n&amp;CSC=Y&amp;PAGE=toc&amp;D=yrovft&amp;AN=00041552-000000000-00000</v>
      </c>
      <c r="N116" t="s">
        <v>3135</v>
      </c>
      <c r="O116" t="s">
        <v>2151</v>
      </c>
      <c r="P116" t="s">
        <v>2431</v>
      </c>
      <c r="Q116">
        <v>1428052</v>
      </c>
      <c r="R116" t="s">
        <v>1797</v>
      </c>
      <c r="S116" t="s">
        <v>84</v>
      </c>
      <c r="T116" t="s">
        <v>2152</v>
      </c>
      <c r="U116" t="s">
        <v>15</v>
      </c>
      <c r="V116" t="b">
        <v>1</v>
      </c>
      <c r="W116" t="s">
        <v>2869</v>
      </c>
      <c r="X116" t="b">
        <v>0</v>
      </c>
      <c r="Y116" t="s">
        <v>2022</v>
      </c>
      <c r="Z116" t="s">
        <v>1351</v>
      </c>
      <c r="AA116" t="s">
        <v>192</v>
      </c>
      <c r="AB116" t="s">
        <v>192</v>
      </c>
    </row>
    <row r="117" spans="1:28" x14ac:dyDescent="0.3">
      <c r="A117" t="s">
        <v>2102</v>
      </c>
      <c r="B117" t="s">
        <v>883</v>
      </c>
      <c r="C117" t="s">
        <v>815</v>
      </c>
      <c r="D117" t="s">
        <v>44</v>
      </c>
      <c r="E117" s="1">
        <v>46055</v>
      </c>
      <c r="F117">
        <v>28</v>
      </c>
      <c r="G117">
        <v>1</v>
      </c>
      <c r="H117">
        <v>39</v>
      </c>
      <c r="I117">
        <v>1</v>
      </c>
      <c r="J117" t="s">
        <v>1878</v>
      </c>
      <c r="K117" t="s">
        <v>1525</v>
      </c>
      <c r="L117" t="s">
        <v>712</v>
      </c>
      <c r="M117" s="3" t="str">
        <f>HYPERLINK("https://ovidsp.ovid.com/ovidweb.cgi?T=JS&amp;NEWS=n&amp;CSC=Y&amp;PAGE=toc&amp;D=yrovft&amp;AN=00019052-000000000-00000","https://ovidsp.ovid.com/ovidweb.cgi?T=JS&amp;NEWS=n&amp;CSC=Y&amp;PAGE=toc&amp;D=yrovft&amp;AN=00019052-000000000-00000")</f>
        <v>https://ovidsp.ovid.com/ovidweb.cgi?T=JS&amp;NEWS=n&amp;CSC=Y&amp;PAGE=toc&amp;D=yrovft&amp;AN=00019052-000000000-00000</v>
      </c>
      <c r="N117" t="s">
        <v>972</v>
      </c>
      <c r="O117" t="s">
        <v>2151</v>
      </c>
      <c r="P117" t="s">
        <v>2431</v>
      </c>
      <c r="Q117">
        <v>1428052</v>
      </c>
      <c r="R117" t="s">
        <v>746</v>
      </c>
      <c r="S117" t="s">
        <v>84</v>
      </c>
      <c r="T117" t="s">
        <v>2152</v>
      </c>
      <c r="U117" t="s">
        <v>1636</v>
      </c>
      <c r="V117" t="b">
        <v>1</v>
      </c>
      <c r="W117" t="s">
        <v>1861</v>
      </c>
      <c r="X117" t="b">
        <v>0</v>
      </c>
      <c r="Y117" t="s">
        <v>2022</v>
      </c>
      <c r="Z117" t="s">
        <v>831</v>
      </c>
      <c r="AA117" t="s">
        <v>192</v>
      </c>
      <c r="AB117" t="s">
        <v>192</v>
      </c>
    </row>
    <row r="118" spans="1:28" x14ac:dyDescent="0.3">
      <c r="A118" t="s">
        <v>2320</v>
      </c>
      <c r="B118" t="s">
        <v>1688</v>
      </c>
      <c r="C118" t="s">
        <v>2609</v>
      </c>
      <c r="D118" t="s">
        <v>44</v>
      </c>
      <c r="E118" s="1">
        <v>46055</v>
      </c>
      <c r="F118">
        <v>27</v>
      </c>
      <c r="G118">
        <v>1</v>
      </c>
      <c r="H118">
        <v>38</v>
      </c>
      <c r="I118">
        <v>1</v>
      </c>
      <c r="J118" t="s">
        <v>1878</v>
      </c>
      <c r="K118" t="s">
        <v>1525</v>
      </c>
      <c r="L118" t="s">
        <v>712</v>
      </c>
      <c r="M118" s="3" t="str">
        <f>HYPERLINK("https://ovidsp.ovid.com/ovidweb.cgi?T=JS&amp;NEWS=n&amp;CSC=Y&amp;PAGE=toc&amp;D=yrovft&amp;AN=00001703-000000000-00000","https://ovidsp.ovid.com/ovidweb.cgi?T=JS&amp;NEWS=n&amp;CSC=Y&amp;PAGE=toc&amp;D=yrovft&amp;AN=00001703-000000000-00000")</f>
        <v>https://ovidsp.ovid.com/ovidweb.cgi?T=JS&amp;NEWS=n&amp;CSC=Y&amp;PAGE=toc&amp;D=yrovft&amp;AN=00001703-000000000-00000</v>
      </c>
      <c r="N118" t="s">
        <v>562</v>
      </c>
      <c r="O118" t="s">
        <v>2151</v>
      </c>
      <c r="P118" t="s">
        <v>2431</v>
      </c>
      <c r="Q118">
        <v>1428052</v>
      </c>
      <c r="R118" t="s">
        <v>2796</v>
      </c>
      <c r="S118" t="s">
        <v>84</v>
      </c>
      <c r="T118" t="s">
        <v>2152</v>
      </c>
      <c r="U118" t="s">
        <v>1204</v>
      </c>
      <c r="V118" t="b">
        <v>1</v>
      </c>
      <c r="W118" t="s">
        <v>2339</v>
      </c>
      <c r="X118" t="b">
        <v>0</v>
      </c>
      <c r="Y118" t="s">
        <v>2022</v>
      </c>
      <c r="Z118" t="s">
        <v>1351</v>
      </c>
      <c r="AA118" t="s">
        <v>192</v>
      </c>
      <c r="AB118" t="s">
        <v>192</v>
      </c>
    </row>
    <row r="119" spans="1:28" x14ac:dyDescent="0.3">
      <c r="A119" t="s">
        <v>2187</v>
      </c>
      <c r="B119" t="s">
        <v>1681</v>
      </c>
      <c r="C119" t="s">
        <v>1674</v>
      </c>
      <c r="D119" t="s">
        <v>44</v>
      </c>
      <c r="E119" s="1">
        <v>46055</v>
      </c>
      <c r="F119">
        <v>27</v>
      </c>
      <c r="G119">
        <v>1</v>
      </c>
      <c r="H119">
        <v>38</v>
      </c>
      <c r="I119">
        <v>1</v>
      </c>
      <c r="J119" t="s">
        <v>672</v>
      </c>
      <c r="K119" t="s">
        <v>1959</v>
      </c>
      <c r="L119" t="s">
        <v>2919</v>
      </c>
      <c r="M119" s="3" t="str">
        <f>HYPERLINK("https://ovidsp.ovid.com/ovidweb.cgi?T=JS&amp;NEWS=n&amp;CSC=Y&amp;PAGE=toc&amp;D=yrovft&amp;AN=00001622-000000000-00000","https://ovidsp.ovid.com/ovidweb.cgi?T=JS&amp;NEWS=n&amp;CSC=Y&amp;PAGE=toc&amp;D=yrovft&amp;AN=00001622-000000000-00000")</f>
        <v>https://ovidsp.ovid.com/ovidweb.cgi?T=JS&amp;NEWS=n&amp;CSC=Y&amp;PAGE=toc&amp;D=yrovft&amp;AN=00001622-000000000-00000</v>
      </c>
      <c r="N119" t="s">
        <v>2742</v>
      </c>
      <c r="O119" t="s">
        <v>2151</v>
      </c>
      <c r="P119" t="s">
        <v>2431</v>
      </c>
      <c r="Q119">
        <v>1428052</v>
      </c>
      <c r="R119" t="s">
        <v>145</v>
      </c>
      <c r="S119" t="s">
        <v>84</v>
      </c>
      <c r="T119" t="s">
        <v>2152</v>
      </c>
      <c r="U119" t="s">
        <v>1375</v>
      </c>
      <c r="V119" t="b">
        <v>1</v>
      </c>
      <c r="W119" t="s">
        <v>1273</v>
      </c>
      <c r="X119" t="b">
        <v>0</v>
      </c>
      <c r="Y119" t="s">
        <v>2022</v>
      </c>
      <c r="Z119" t="s">
        <v>1351</v>
      </c>
      <c r="AA119" t="s">
        <v>192</v>
      </c>
      <c r="AB119" t="s">
        <v>192</v>
      </c>
    </row>
    <row r="120" spans="1:28" x14ac:dyDescent="0.3">
      <c r="A120" t="s">
        <v>2268</v>
      </c>
      <c r="B120" t="s">
        <v>1567</v>
      </c>
      <c r="C120" t="s">
        <v>1506</v>
      </c>
      <c r="D120" t="s">
        <v>44</v>
      </c>
      <c r="E120" s="1">
        <v>46055</v>
      </c>
      <c r="F120">
        <v>26</v>
      </c>
      <c r="G120">
        <v>1</v>
      </c>
      <c r="H120">
        <v>37</v>
      </c>
      <c r="I120">
        <v>1</v>
      </c>
      <c r="J120" t="s">
        <v>672</v>
      </c>
      <c r="K120" t="s">
        <v>1959</v>
      </c>
      <c r="L120" t="s">
        <v>2919</v>
      </c>
      <c r="M120" s="3" t="str">
        <f>HYPERLINK("https://ovidsp.ovid.com/ovidweb.cgi?T=JS&amp;NEWS=n&amp;CSC=Y&amp;PAGE=toc&amp;D=yrovft&amp;AN=00055735-000000000-00000","https://ovidsp.ovid.com/ovidweb.cgi?T=JS&amp;NEWS=n&amp;CSC=Y&amp;PAGE=toc&amp;D=yrovft&amp;AN=00055735-000000000-00000")</f>
        <v>https://ovidsp.ovid.com/ovidweb.cgi?T=JS&amp;NEWS=n&amp;CSC=Y&amp;PAGE=toc&amp;D=yrovft&amp;AN=00055735-000000000-00000</v>
      </c>
      <c r="N120" t="s">
        <v>2326</v>
      </c>
      <c r="O120" t="s">
        <v>2151</v>
      </c>
      <c r="P120" t="s">
        <v>2431</v>
      </c>
      <c r="Q120">
        <v>1428052</v>
      </c>
      <c r="R120" t="s">
        <v>1231</v>
      </c>
      <c r="S120" t="s">
        <v>84</v>
      </c>
      <c r="T120" t="s">
        <v>2152</v>
      </c>
      <c r="U120" t="s">
        <v>3085</v>
      </c>
      <c r="V120" t="b">
        <v>1</v>
      </c>
      <c r="W120" t="s">
        <v>2912</v>
      </c>
      <c r="X120" t="b">
        <v>0</v>
      </c>
      <c r="Y120" t="s">
        <v>2022</v>
      </c>
      <c r="Z120" t="s">
        <v>831</v>
      </c>
      <c r="AA120" t="s">
        <v>192</v>
      </c>
      <c r="AB120" t="s">
        <v>192</v>
      </c>
    </row>
    <row r="121" spans="1:28" x14ac:dyDescent="0.3">
      <c r="A121" t="s">
        <v>2845</v>
      </c>
      <c r="B121" t="s">
        <v>2022</v>
      </c>
      <c r="C121" t="s">
        <v>2490</v>
      </c>
      <c r="D121" t="s">
        <v>44</v>
      </c>
      <c r="E121" s="1">
        <v>46055</v>
      </c>
      <c r="F121">
        <v>20</v>
      </c>
      <c r="G121">
        <v>1</v>
      </c>
      <c r="H121">
        <v>31</v>
      </c>
      <c r="I121">
        <v>1</v>
      </c>
      <c r="J121" t="s">
        <v>1878</v>
      </c>
      <c r="K121" t="s">
        <v>1525</v>
      </c>
      <c r="L121" t="s">
        <v>712</v>
      </c>
      <c r="M121" s="3" t="str">
        <f>HYPERLINK("https://ovidsp.ovid.com/ovidweb.cgi?T=JS&amp;NEWS=n&amp;CSC=Y&amp;PAGE=toc&amp;D=yrovft&amp;AN=00075200-000000000-00000","https://ovidsp.ovid.com/ovidweb.cgi?T=JS&amp;NEWS=n&amp;CSC=Y&amp;PAGE=toc&amp;D=yrovft&amp;AN=00075200-000000000-00000")</f>
        <v>https://ovidsp.ovid.com/ovidweb.cgi?T=JS&amp;NEWS=n&amp;CSC=Y&amp;PAGE=toc&amp;D=yrovft&amp;AN=00075200-000000000-00000</v>
      </c>
      <c r="N121" t="s">
        <v>1626</v>
      </c>
      <c r="O121" t="s">
        <v>2151</v>
      </c>
      <c r="P121" t="s">
        <v>2431</v>
      </c>
      <c r="Q121">
        <v>1428052</v>
      </c>
      <c r="R121" t="s">
        <v>287</v>
      </c>
      <c r="S121" t="s">
        <v>84</v>
      </c>
      <c r="T121" t="s">
        <v>2152</v>
      </c>
      <c r="U121" t="s">
        <v>319</v>
      </c>
      <c r="V121" t="b">
        <v>1</v>
      </c>
      <c r="W121" t="s">
        <v>2836</v>
      </c>
      <c r="X121" t="b">
        <v>0</v>
      </c>
      <c r="Y121" t="s">
        <v>2022</v>
      </c>
      <c r="Z121" t="s">
        <v>1351</v>
      </c>
      <c r="AA121" t="s">
        <v>192</v>
      </c>
      <c r="AB121" t="s">
        <v>192</v>
      </c>
    </row>
    <row r="122" spans="1:28" x14ac:dyDescent="0.3">
      <c r="A122" t="s">
        <v>927</v>
      </c>
      <c r="B122" t="s">
        <v>1023</v>
      </c>
      <c r="C122" t="s">
        <v>2315</v>
      </c>
      <c r="D122" t="s">
        <v>44</v>
      </c>
      <c r="E122" s="1">
        <v>46055</v>
      </c>
      <c r="F122">
        <v>23</v>
      </c>
      <c r="G122">
        <v>1</v>
      </c>
      <c r="H122">
        <v>34</v>
      </c>
      <c r="I122">
        <v>1</v>
      </c>
      <c r="J122" t="s">
        <v>1878</v>
      </c>
      <c r="K122" t="s">
        <v>1525</v>
      </c>
      <c r="L122" t="s">
        <v>712</v>
      </c>
      <c r="M122" s="3" t="str">
        <f>HYPERLINK("https://ovidsp.ovid.com/ovidweb.cgi?T=JS&amp;NEWS=n&amp;CSC=Y&amp;PAGE=toc&amp;D=yrovft&amp;AN=00020840-000000000-00000","https://ovidsp.ovid.com/ovidweb.cgi?T=JS&amp;NEWS=n&amp;CSC=Y&amp;PAGE=toc&amp;D=yrovft&amp;AN=00020840-000000000-00000")</f>
        <v>https://ovidsp.ovid.com/ovidweb.cgi?T=JS&amp;NEWS=n&amp;CSC=Y&amp;PAGE=toc&amp;D=yrovft&amp;AN=00020840-000000000-00000</v>
      </c>
      <c r="N122" t="s">
        <v>1111</v>
      </c>
      <c r="O122" t="s">
        <v>2151</v>
      </c>
      <c r="P122" t="s">
        <v>2431</v>
      </c>
      <c r="Q122">
        <v>1428052</v>
      </c>
      <c r="R122" t="s">
        <v>1229</v>
      </c>
      <c r="S122" t="s">
        <v>84</v>
      </c>
      <c r="T122" t="s">
        <v>2152</v>
      </c>
      <c r="U122" t="s">
        <v>10</v>
      </c>
      <c r="V122" t="b">
        <v>1</v>
      </c>
      <c r="W122" t="s">
        <v>987</v>
      </c>
      <c r="X122" t="b">
        <v>0</v>
      </c>
      <c r="Y122" t="s">
        <v>2022</v>
      </c>
      <c r="Z122" t="s">
        <v>1351</v>
      </c>
      <c r="AA122" t="s">
        <v>192</v>
      </c>
      <c r="AB122" t="s">
        <v>192</v>
      </c>
    </row>
    <row r="123" spans="1:28" x14ac:dyDescent="0.3">
      <c r="A123" t="s">
        <v>405</v>
      </c>
      <c r="B123" t="s">
        <v>2022</v>
      </c>
      <c r="C123" t="s">
        <v>356</v>
      </c>
      <c r="D123" t="s">
        <v>44</v>
      </c>
      <c r="E123" s="1">
        <v>46055</v>
      </c>
      <c r="F123">
        <v>27</v>
      </c>
      <c r="G123">
        <v>1</v>
      </c>
      <c r="H123">
        <v>38</v>
      </c>
      <c r="I123">
        <v>1</v>
      </c>
      <c r="J123" t="s">
        <v>1878</v>
      </c>
      <c r="K123" t="s">
        <v>1525</v>
      </c>
      <c r="L123" t="s">
        <v>712</v>
      </c>
      <c r="M123" s="3" t="str">
        <f>HYPERLINK("https://ovidsp.ovid.com/ovidweb.cgi?T=JS&amp;NEWS=n&amp;CSC=Y&amp;PAGE=toc&amp;D=yrovft&amp;AN=00008480-000000000-00000","https://ovidsp.ovid.com/ovidweb.cgi?T=JS&amp;NEWS=n&amp;CSC=Y&amp;PAGE=toc&amp;D=yrovft&amp;AN=00008480-000000000-00000")</f>
        <v>https://ovidsp.ovid.com/ovidweb.cgi?T=JS&amp;NEWS=n&amp;CSC=Y&amp;PAGE=toc&amp;D=yrovft&amp;AN=00008480-000000000-00000</v>
      </c>
      <c r="N123" t="s">
        <v>1633</v>
      </c>
      <c r="O123" t="s">
        <v>2151</v>
      </c>
      <c r="P123" t="s">
        <v>2431</v>
      </c>
      <c r="Q123">
        <v>1428052</v>
      </c>
      <c r="R123" t="s">
        <v>2388</v>
      </c>
      <c r="S123" t="s">
        <v>84</v>
      </c>
      <c r="T123" t="s">
        <v>2152</v>
      </c>
      <c r="U123" t="s">
        <v>2449</v>
      </c>
      <c r="V123" t="b">
        <v>1</v>
      </c>
      <c r="W123" t="s">
        <v>2980</v>
      </c>
      <c r="X123" t="b">
        <v>0</v>
      </c>
      <c r="Y123" t="s">
        <v>2022</v>
      </c>
      <c r="Z123" t="s">
        <v>2440</v>
      </c>
      <c r="AA123" t="s">
        <v>192</v>
      </c>
      <c r="AB123" t="s">
        <v>192</v>
      </c>
    </row>
    <row r="124" spans="1:28" x14ac:dyDescent="0.3">
      <c r="A124" t="s">
        <v>1558</v>
      </c>
      <c r="B124" t="s">
        <v>1962</v>
      </c>
      <c r="C124" t="s">
        <v>878</v>
      </c>
      <c r="D124" t="s">
        <v>44</v>
      </c>
      <c r="E124" s="1">
        <v>46055</v>
      </c>
      <c r="F124">
        <v>28</v>
      </c>
      <c r="G124">
        <v>1</v>
      </c>
      <c r="H124">
        <v>39</v>
      </c>
      <c r="I124">
        <v>1</v>
      </c>
      <c r="J124" t="s">
        <v>672</v>
      </c>
      <c r="K124" t="s">
        <v>1959</v>
      </c>
      <c r="L124" t="s">
        <v>2919</v>
      </c>
      <c r="M124" s="3" t="str">
        <f>HYPERLINK("https://ovidsp.ovid.com/ovidweb.cgi?T=JS&amp;NEWS=n&amp;CSC=Y&amp;PAGE=toc&amp;D=yrovft&amp;AN=00001504-000000000-00000","https://ovidsp.ovid.com/ovidweb.cgi?T=JS&amp;NEWS=n&amp;CSC=Y&amp;PAGE=toc&amp;D=yrovft&amp;AN=00001504-000000000-00000")</f>
        <v>https://ovidsp.ovid.com/ovidweb.cgi?T=JS&amp;NEWS=n&amp;CSC=Y&amp;PAGE=toc&amp;D=yrovft&amp;AN=00001504-000000000-00000</v>
      </c>
      <c r="N124" t="s">
        <v>913</v>
      </c>
      <c r="O124" t="s">
        <v>2151</v>
      </c>
      <c r="P124" t="s">
        <v>2431</v>
      </c>
      <c r="Q124">
        <v>1428052</v>
      </c>
      <c r="R124" t="s">
        <v>1321</v>
      </c>
      <c r="S124" t="s">
        <v>84</v>
      </c>
      <c r="T124" t="s">
        <v>2152</v>
      </c>
      <c r="U124" t="s">
        <v>108</v>
      </c>
      <c r="V124" t="b">
        <v>1</v>
      </c>
      <c r="W124" t="s">
        <v>2285</v>
      </c>
      <c r="X124" t="b">
        <v>0</v>
      </c>
      <c r="Y124" t="s">
        <v>2022</v>
      </c>
      <c r="Z124" t="s">
        <v>459</v>
      </c>
      <c r="AA124" t="s">
        <v>192</v>
      </c>
      <c r="AB124" t="s">
        <v>192</v>
      </c>
    </row>
    <row r="125" spans="1:28" x14ac:dyDescent="0.3">
      <c r="A125" t="s">
        <v>802</v>
      </c>
      <c r="B125" t="s">
        <v>2022</v>
      </c>
      <c r="C125" t="s">
        <v>1070</v>
      </c>
      <c r="D125" t="s">
        <v>44</v>
      </c>
      <c r="E125" s="1">
        <v>46055</v>
      </c>
      <c r="F125">
        <v>21</v>
      </c>
      <c r="G125">
        <v>1</v>
      </c>
      <c r="H125">
        <v>32</v>
      </c>
      <c r="I125">
        <v>2</v>
      </c>
      <c r="J125" t="s">
        <v>359</v>
      </c>
      <c r="K125" t="s">
        <v>1959</v>
      </c>
      <c r="L125" t="s">
        <v>2441</v>
      </c>
      <c r="M125" s="3" t="str">
        <f>HYPERLINK("https://ovidsp.ovid.com/ovidweb.cgi?T=JS&amp;NEWS=n&amp;CSC=Y&amp;PAGE=toc&amp;D=yrovft&amp;AN=00063198-000000000-00000","https://ovidsp.ovid.com/ovidweb.cgi?T=JS&amp;NEWS=n&amp;CSC=Y&amp;PAGE=toc&amp;D=yrovft&amp;AN=00063198-000000000-00000")</f>
        <v>https://ovidsp.ovid.com/ovidweb.cgi?T=JS&amp;NEWS=n&amp;CSC=Y&amp;PAGE=toc&amp;D=yrovft&amp;AN=00063198-000000000-00000</v>
      </c>
      <c r="N125" t="s">
        <v>1365</v>
      </c>
      <c r="O125" t="s">
        <v>2151</v>
      </c>
      <c r="P125" t="s">
        <v>2431</v>
      </c>
      <c r="Q125">
        <v>1428052</v>
      </c>
      <c r="R125" t="s">
        <v>773</v>
      </c>
      <c r="S125" t="s">
        <v>84</v>
      </c>
      <c r="T125" t="s">
        <v>2152</v>
      </c>
      <c r="U125" t="s">
        <v>2765</v>
      </c>
      <c r="V125" t="b">
        <v>1</v>
      </c>
      <c r="W125" t="s">
        <v>1756</v>
      </c>
      <c r="X125" t="b">
        <v>0</v>
      </c>
      <c r="Y125" t="s">
        <v>2022</v>
      </c>
      <c r="Z125" t="s">
        <v>1351</v>
      </c>
      <c r="AA125" t="s">
        <v>192</v>
      </c>
      <c r="AB125" t="s">
        <v>192</v>
      </c>
    </row>
    <row r="126" spans="1:28" x14ac:dyDescent="0.3">
      <c r="A126" t="s">
        <v>254</v>
      </c>
      <c r="B126" t="s">
        <v>3110</v>
      </c>
      <c r="C126" t="s">
        <v>687</v>
      </c>
      <c r="D126" t="s">
        <v>44</v>
      </c>
      <c r="E126" s="1">
        <v>46055</v>
      </c>
      <c r="F126">
        <v>27</v>
      </c>
      <c r="G126">
        <v>1</v>
      </c>
      <c r="H126">
        <v>38</v>
      </c>
      <c r="I126">
        <v>2</v>
      </c>
      <c r="J126" t="s">
        <v>359</v>
      </c>
      <c r="K126" t="s">
        <v>1959</v>
      </c>
      <c r="L126" t="s">
        <v>2441</v>
      </c>
      <c r="M126" s="3" t="str">
        <f>HYPERLINK("https://ovidsp.ovid.com/ovidweb.cgi?T=JS&amp;NEWS=n&amp;CSC=Y&amp;PAGE=toc&amp;D=yrovft&amp;AN=00002281-000000000-00000","https://ovidsp.ovid.com/ovidweb.cgi?T=JS&amp;NEWS=n&amp;CSC=Y&amp;PAGE=toc&amp;D=yrovft&amp;AN=00002281-000000000-00000")</f>
        <v>https://ovidsp.ovid.com/ovidweb.cgi?T=JS&amp;NEWS=n&amp;CSC=Y&amp;PAGE=toc&amp;D=yrovft&amp;AN=00002281-000000000-00000</v>
      </c>
      <c r="N126" t="s">
        <v>713</v>
      </c>
      <c r="O126" t="s">
        <v>2151</v>
      </c>
      <c r="P126" t="s">
        <v>2431</v>
      </c>
      <c r="Q126">
        <v>1428052</v>
      </c>
      <c r="R126" t="s">
        <v>51</v>
      </c>
      <c r="S126" t="s">
        <v>84</v>
      </c>
      <c r="T126" t="s">
        <v>2152</v>
      </c>
      <c r="U126" t="s">
        <v>362</v>
      </c>
      <c r="V126" t="b">
        <v>1</v>
      </c>
      <c r="W126" t="s">
        <v>2858</v>
      </c>
      <c r="X126" t="b">
        <v>0</v>
      </c>
      <c r="Y126" t="s">
        <v>2022</v>
      </c>
      <c r="Z126" t="s">
        <v>1351</v>
      </c>
      <c r="AA126" t="s">
        <v>192</v>
      </c>
      <c r="AB126" t="s">
        <v>192</v>
      </c>
    </row>
    <row r="127" spans="1:28" x14ac:dyDescent="0.3">
      <c r="A127" t="s">
        <v>627</v>
      </c>
      <c r="B127" t="s">
        <v>2022</v>
      </c>
      <c r="C127" t="s">
        <v>551</v>
      </c>
      <c r="D127" t="s">
        <v>44</v>
      </c>
      <c r="E127" s="1">
        <v>46055</v>
      </c>
      <c r="F127">
        <v>9</v>
      </c>
      <c r="G127">
        <v>1</v>
      </c>
      <c r="H127">
        <v>20</v>
      </c>
      <c r="I127">
        <v>1</v>
      </c>
      <c r="J127" t="s">
        <v>1570</v>
      </c>
      <c r="K127" t="s">
        <v>2249</v>
      </c>
      <c r="L127" t="s">
        <v>2441</v>
      </c>
      <c r="M127" s="3" t="str">
        <f>HYPERLINK("https://ovidsp.ovid.com/ovidweb.cgi?T=JS&amp;NEWS=n&amp;CSC=Y&amp;PAGE=toc&amp;D=yrovft&amp;AN=01263393-000000000-00000","https://ovidsp.ovid.com/ovidweb.cgi?T=JS&amp;NEWS=n&amp;CSC=Y&amp;PAGE=toc&amp;D=yrovft&amp;AN=01263393-000000000-00000")</f>
        <v>https://ovidsp.ovid.com/ovidweb.cgi?T=JS&amp;NEWS=n&amp;CSC=Y&amp;PAGE=toc&amp;D=yrovft&amp;AN=01263393-000000000-00000</v>
      </c>
      <c r="N127" t="s">
        <v>346</v>
      </c>
      <c r="O127" t="s">
        <v>2151</v>
      </c>
      <c r="P127" t="s">
        <v>2431</v>
      </c>
      <c r="Q127">
        <v>1428052</v>
      </c>
      <c r="R127" t="s">
        <v>710</v>
      </c>
      <c r="S127" t="s">
        <v>84</v>
      </c>
      <c r="T127" t="s">
        <v>2152</v>
      </c>
      <c r="U127" t="s">
        <v>2857</v>
      </c>
      <c r="V127" t="b">
        <v>1</v>
      </c>
      <c r="W127" t="s">
        <v>2895</v>
      </c>
      <c r="X127" t="b">
        <v>0</v>
      </c>
      <c r="Y127" t="s">
        <v>2022</v>
      </c>
      <c r="Z127" t="s">
        <v>2440</v>
      </c>
      <c r="AA127" t="s">
        <v>192</v>
      </c>
      <c r="AB127" t="s">
        <v>192</v>
      </c>
    </row>
    <row r="128" spans="1:28" x14ac:dyDescent="0.3">
      <c r="A128" t="s">
        <v>2978</v>
      </c>
      <c r="B128" t="s">
        <v>2562</v>
      </c>
      <c r="C128" t="s">
        <v>2586</v>
      </c>
      <c r="D128" t="s">
        <v>44</v>
      </c>
      <c r="E128" s="1">
        <v>46055</v>
      </c>
      <c r="F128">
        <v>25</v>
      </c>
      <c r="G128">
        <v>1</v>
      </c>
      <c r="H128">
        <v>36</v>
      </c>
      <c r="I128">
        <v>1</v>
      </c>
      <c r="J128" t="s">
        <v>672</v>
      </c>
      <c r="K128" t="s">
        <v>1959</v>
      </c>
      <c r="L128" t="s">
        <v>2919</v>
      </c>
      <c r="M128" s="3" t="str">
        <f>HYPERLINK("https://ovidsp.ovid.com/ovidweb.cgi?T=JS&amp;NEWS=n&amp;CSC=Y&amp;PAGE=toc&amp;D=yrovft&amp;AN=00042307-000000000-00000","https://ovidsp.ovid.com/ovidweb.cgi?T=JS&amp;NEWS=n&amp;CSC=Y&amp;PAGE=toc&amp;D=yrovft&amp;AN=00042307-000000000-00000")</f>
        <v>https://ovidsp.ovid.com/ovidweb.cgi?T=JS&amp;NEWS=n&amp;CSC=Y&amp;PAGE=toc&amp;D=yrovft&amp;AN=00042307-000000000-00000</v>
      </c>
      <c r="N128" t="s">
        <v>3011</v>
      </c>
      <c r="O128" t="s">
        <v>2151</v>
      </c>
      <c r="P128" t="s">
        <v>2431</v>
      </c>
      <c r="Q128">
        <v>1428052</v>
      </c>
      <c r="R128" t="s">
        <v>1618</v>
      </c>
      <c r="S128" t="s">
        <v>84</v>
      </c>
      <c r="T128" t="s">
        <v>2152</v>
      </c>
      <c r="U128" t="s">
        <v>280</v>
      </c>
      <c r="V128" t="b">
        <v>1</v>
      </c>
      <c r="W128" t="s">
        <v>162</v>
      </c>
      <c r="X128" t="b">
        <v>0</v>
      </c>
      <c r="Y128" t="s">
        <v>2022</v>
      </c>
      <c r="Z128" t="s">
        <v>831</v>
      </c>
      <c r="AA128" t="s">
        <v>192</v>
      </c>
      <c r="AB128" t="s">
        <v>192</v>
      </c>
    </row>
    <row r="129" spans="1:28" x14ac:dyDescent="0.3">
      <c r="A129" t="s">
        <v>1170</v>
      </c>
      <c r="B129" t="s">
        <v>2022</v>
      </c>
      <c r="C129" t="s">
        <v>3152</v>
      </c>
      <c r="D129" t="s">
        <v>44</v>
      </c>
      <c r="E129" s="1">
        <v>46055</v>
      </c>
      <c r="F129">
        <v>26</v>
      </c>
      <c r="G129">
        <v>1</v>
      </c>
      <c r="H129">
        <v>37</v>
      </c>
      <c r="I129">
        <v>1</v>
      </c>
      <c r="J129" t="s">
        <v>672</v>
      </c>
      <c r="K129" t="s">
        <v>1959</v>
      </c>
      <c r="L129" t="s">
        <v>2919</v>
      </c>
      <c r="M129" s="3" t="str">
        <f>HYPERLINK("https://ovidsp.ovid.com/ovidweb.cgi?T=JS&amp;NEWS=n&amp;CSC=Y&amp;PAGE=toc&amp;D=yrovft&amp;AN=01337441-000000000-00000","https://ovidsp.ovid.com/ovidweb.cgi?T=JS&amp;NEWS=n&amp;CSC=Y&amp;PAGE=toc&amp;D=yrovft&amp;AN=01337441-000000000-00000")</f>
        <v>https://ovidsp.ovid.com/ovidweb.cgi?T=JS&amp;NEWS=n&amp;CSC=Y&amp;PAGE=toc&amp;D=yrovft&amp;AN=01337441-000000000-00000</v>
      </c>
      <c r="N129" t="s">
        <v>3151</v>
      </c>
      <c r="O129" t="s">
        <v>2151</v>
      </c>
      <c r="P129" t="s">
        <v>2431</v>
      </c>
      <c r="Q129">
        <v>1428052</v>
      </c>
      <c r="R129" t="s">
        <v>2390</v>
      </c>
      <c r="S129" t="s">
        <v>84</v>
      </c>
      <c r="T129" t="s">
        <v>2152</v>
      </c>
      <c r="U129" t="s">
        <v>469</v>
      </c>
      <c r="V129" t="b">
        <v>1</v>
      </c>
      <c r="W129" t="s">
        <v>1065</v>
      </c>
      <c r="X129" t="b">
        <v>0</v>
      </c>
      <c r="Y129" t="s">
        <v>2022</v>
      </c>
      <c r="Z129" t="s">
        <v>831</v>
      </c>
      <c r="AA129" t="s">
        <v>192</v>
      </c>
      <c r="AB129" t="s">
        <v>192</v>
      </c>
    </row>
    <row r="130" spans="1:28" x14ac:dyDescent="0.3">
      <c r="A130" t="s">
        <v>3098</v>
      </c>
      <c r="B130" t="s">
        <v>2022</v>
      </c>
      <c r="C130" t="s">
        <v>573</v>
      </c>
      <c r="D130" t="s">
        <v>44</v>
      </c>
      <c r="E130" s="1">
        <v>46055</v>
      </c>
      <c r="F130">
        <v>14</v>
      </c>
      <c r="G130">
        <v>1</v>
      </c>
      <c r="H130">
        <v>25</v>
      </c>
      <c r="I130">
        <v>1</v>
      </c>
      <c r="J130" t="s">
        <v>672</v>
      </c>
      <c r="K130" t="s">
        <v>1959</v>
      </c>
      <c r="L130" t="s">
        <v>2919</v>
      </c>
      <c r="M130" s="3" t="str">
        <f>HYPERLINK("https://ovidsp.ovid.com/ovidweb.cgi?T=JS&amp;NEWS=n&amp;CSC=Y&amp;PAGE=toc&amp;D=yrovft&amp;AN=00149619-000000000-00000","https://ovidsp.ovid.com/ovidweb.cgi?T=JS&amp;NEWS=n&amp;CSC=Y&amp;PAGE=toc&amp;D=yrovft&amp;AN=00149619-000000000-00000")</f>
        <v>https://ovidsp.ovid.com/ovidweb.cgi?T=JS&amp;NEWS=n&amp;CSC=Y&amp;PAGE=toc&amp;D=yrovft&amp;AN=00149619-000000000-00000</v>
      </c>
      <c r="N130" t="s">
        <v>2984</v>
      </c>
      <c r="O130" t="s">
        <v>2151</v>
      </c>
      <c r="P130" t="s">
        <v>2431</v>
      </c>
      <c r="Q130">
        <v>1428052</v>
      </c>
      <c r="R130" t="s">
        <v>838</v>
      </c>
      <c r="S130" t="s">
        <v>84</v>
      </c>
      <c r="T130" t="s">
        <v>2152</v>
      </c>
      <c r="U130" t="s">
        <v>1742</v>
      </c>
      <c r="V130" t="b">
        <v>0</v>
      </c>
      <c r="W130" t="s">
        <v>2022</v>
      </c>
      <c r="X130" t="b">
        <v>0</v>
      </c>
      <c r="Y130" t="s">
        <v>2022</v>
      </c>
      <c r="Z130" t="s">
        <v>2196</v>
      </c>
      <c r="AA130" t="s">
        <v>192</v>
      </c>
      <c r="AB130" t="s">
        <v>192</v>
      </c>
    </row>
    <row r="131" spans="1:28" x14ac:dyDescent="0.3">
      <c r="A131" t="s">
        <v>2767</v>
      </c>
      <c r="B131" t="s">
        <v>403</v>
      </c>
      <c r="C131" t="s">
        <v>2896</v>
      </c>
      <c r="D131" t="s">
        <v>44</v>
      </c>
      <c r="E131" s="1">
        <v>46055</v>
      </c>
      <c r="F131">
        <v>1</v>
      </c>
      <c r="G131">
        <v>1</v>
      </c>
      <c r="H131">
        <v>20</v>
      </c>
      <c r="I131">
        <v>1</v>
      </c>
      <c r="J131" t="s">
        <v>2443</v>
      </c>
      <c r="K131" t="s">
        <v>2222</v>
      </c>
      <c r="L131" t="s">
        <v>2919</v>
      </c>
      <c r="M131" s="3" t="str">
        <f>HYPERLINK("https://ovidsp.ovid.com/ovidweb.cgi?T=JS&amp;NEWS=n&amp;CSC=Y&amp;PAGE=toc&amp;D=yrovft&amp;AN=01330296-000000000-00000","https://ovidsp.ovid.com/ovidweb.cgi?T=JS&amp;NEWS=n&amp;CSC=Y&amp;PAGE=toc&amp;D=yrovft&amp;AN=01330296-000000000-00000")</f>
        <v>https://ovidsp.ovid.com/ovidweb.cgi?T=JS&amp;NEWS=n&amp;CSC=Y&amp;PAGE=toc&amp;D=yrovft&amp;AN=01330296-000000000-00000</v>
      </c>
      <c r="N131" t="s">
        <v>1591</v>
      </c>
      <c r="O131" t="s">
        <v>2151</v>
      </c>
      <c r="P131" t="s">
        <v>2431</v>
      </c>
      <c r="Q131">
        <v>1428052</v>
      </c>
      <c r="R131" t="s">
        <v>422</v>
      </c>
      <c r="S131" t="s">
        <v>84</v>
      </c>
      <c r="T131" t="s">
        <v>2152</v>
      </c>
      <c r="U131" t="s">
        <v>2674</v>
      </c>
      <c r="V131" t="b">
        <v>1</v>
      </c>
      <c r="W131" t="s">
        <v>2637</v>
      </c>
      <c r="X131" t="b">
        <v>0</v>
      </c>
      <c r="Y131" t="s">
        <v>2022</v>
      </c>
      <c r="Z131" t="s">
        <v>2022</v>
      </c>
      <c r="AA131" t="s">
        <v>192</v>
      </c>
      <c r="AB131" t="s">
        <v>192</v>
      </c>
    </row>
    <row r="132" spans="1:28" x14ac:dyDescent="0.3">
      <c r="A132" t="s">
        <v>2651</v>
      </c>
      <c r="B132" t="s">
        <v>2785</v>
      </c>
      <c r="C132" t="s">
        <v>2264</v>
      </c>
      <c r="D132" t="s">
        <v>44</v>
      </c>
      <c r="E132" s="1">
        <v>46055</v>
      </c>
      <c r="F132">
        <v>41</v>
      </c>
      <c r="G132">
        <v>0</v>
      </c>
      <c r="H132">
        <v>52</v>
      </c>
      <c r="I132">
        <v>1</v>
      </c>
      <c r="J132" t="s">
        <v>672</v>
      </c>
      <c r="K132" t="s">
        <v>1959</v>
      </c>
      <c r="L132" t="s">
        <v>2919</v>
      </c>
      <c r="M132" s="3" t="str">
        <f>HYPERLINK("https://ovidsp.ovid.com/ovidweb.cgi?T=JS&amp;NEWS=n&amp;CSC=Y&amp;PAGE=toc&amp;D=yrovft&amp;AN=00042728-000000000-00000","https://ovidsp.ovid.com/ovidweb.cgi?T=JS&amp;NEWS=n&amp;CSC=Y&amp;PAGE=toc&amp;D=yrovft&amp;AN=00042728-000000000-00000")</f>
        <v>https://ovidsp.ovid.com/ovidweb.cgi?T=JS&amp;NEWS=n&amp;CSC=Y&amp;PAGE=toc&amp;D=yrovft&amp;AN=00042728-000000000-00000</v>
      </c>
      <c r="N132" t="s">
        <v>3022</v>
      </c>
      <c r="O132" t="s">
        <v>2151</v>
      </c>
      <c r="P132" t="s">
        <v>2431</v>
      </c>
      <c r="Q132">
        <v>1428052</v>
      </c>
      <c r="R132" t="s">
        <v>1473</v>
      </c>
      <c r="S132" t="s">
        <v>84</v>
      </c>
      <c r="T132" t="s">
        <v>2152</v>
      </c>
      <c r="U132" t="s">
        <v>2204</v>
      </c>
      <c r="V132" t="b">
        <v>1</v>
      </c>
      <c r="W132" t="s">
        <v>2768</v>
      </c>
      <c r="X132" t="b">
        <v>0</v>
      </c>
      <c r="Y132" t="s">
        <v>2022</v>
      </c>
      <c r="Z132" t="s">
        <v>1351</v>
      </c>
      <c r="AA132" t="s">
        <v>192</v>
      </c>
      <c r="AB132" t="s">
        <v>192</v>
      </c>
    </row>
    <row r="133" spans="1:28" x14ac:dyDescent="0.3">
      <c r="A133" t="s">
        <v>1132</v>
      </c>
      <c r="B133" t="s">
        <v>2499</v>
      </c>
      <c r="C133" t="s">
        <v>3036</v>
      </c>
      <c r="D133" t="s">
        <v>44</v>
      </c>
      <c r="E133" s="1">
        <v>46055</v>
      </c>
      <c r="F133">
        <v>1</v>
      </c>
      <c r="G133">
        <v>1</v>
      </c>
      <c r="H133">
        <v>11</v>
      </c>
      <c r="I133">
        <v>4</v>
      </c>
      <c r="J133" t="s">
        <v>2891</v>
      </c>
      <c r="K133" t="s">
        <v>1909</v>
      </c>
      <c r="L133" t="s">
        <v>2771</v>
      </c>
      <c r="M133" s="3" t="str">
        <f>HYPERLINK("https://ovidsp.ovid.com/ovidweb.cgi?T=JS&amp;NEWS=n&amp;CSC=Y&amp;PAGE=toc&amp;D=yrovft&amp;AN=02273349-000000000-00000","https://ovidsp.ovid.com/ovidweb.cgi?T=JS&amp;NEWS=n&amp;CSC=Y&amp;PAGE=toc&amp;D=yrovft&amp;AN=02273349-000000000-00000")</f>
        <v>https://ovidsp.ovid.com/ovidweb.cgi?T=JS&amp;NEWS=n&amp;CSC=Y&amp;PAGE=toc&amp;D=yrovft&amp;AN=02273349-000000000-00000</v>
      </c>
      <c r="N133" t="s">
        <v>3074</v>
      </c>
      <c r="O133" t="s">
        <v>2151</v>
      </c>
      <c r="P133" t="s">
        <v>2431</v>
      </c>
      <c r="Q133">
        <v>1428052</v>
      </c>
      <c r="R133" t="s">
        <v>2286</v>
      </c>
      <c r="S133" t="s">
        <v>84</v>
      </c>
      <c r="T133" t="s">
        <v>2152</v>
      </c>
      <c r="U133" t="s">
        <v>57</v>
      </c>
      <c r="V133" t="b">
        <v>0</v>
      </c>
      <c r="W133" t="s">
        <v>2022</v>
      </c>
      <c r="X133" t="b">
        <v>0</v>
      </c>
      <c r="Y133" t="s">
        <v>2022</v>
      </c>
      <c r="Z133" t="s">
        <v>2022</v>
      </c>
      <c r="AA133" t="s">
        <v>192</v>
      </c>
      <c r="AB133" t="s">
        <v>192</v>
      </c>
    </row>
    <row r="134" spans="1:28" x14ac:dyDescent="0.3">
      <c r="A134" t="s">
        <v>1356</v>
      </c>
      <c r="B134" t="s">
        <v>861</v>
      </c>
      <c r="C134" t="s">
        <v>42</v>
      </c>
      <c r="D134" t="s">
        <v>44</v>
      </c>
      <c r="E134" s="1">
        <v>46055</v>
      </c>
      <c r="F134">
        <v>34</v>
      </c>
      <c r="G134">
        <v>1</v>
      </c>
      <c r="H134">
        <v>45</v>
      </c>
      <c r="I134">
        <v>2</v>
      </c>
      <c r="J134" t="s">
        <v>359</v>
      </c>
      <c r="K134" t="s">
        <v>1959</v>
      </c>
      <c r="L134" t="s">
        <v>2441</v>
      </c>
      <c r="M134" s="3" t="str">
        <f>HYPERLINK("https://ovidsp.ovid.com/ovidweb.cgi?T=JS&amp;NEWS=n&amp;CSC=Y&amp;PAGE=toc&amp;D=yrovft&amp;AN=00003465-000000000-00000","https://ovidsp.ovid.com/ovidweb.cgi?T=JS&amp;NEWS=n&amp;CSC=Y&amp;PAGE=toc&amp;D=yrovft&amp;AN=00003465-000000000-00000")</f>
        <v>https://ovidsp.ovid.com/ovidweb.cgi?T=JS&amp;NEWS=n&amp;CSC=Y&amp;PAGE=toc&amp;D=yrovft&amp;AN=00003465-000000000-00000</v>
      </c>
      <c r="N134" t="s">
        <v>731</v>
      </c>
      <c r="O134" t="s">
        <v>2151</v>
      </c>
      <c r="P134" t="s">
        <v>2431</v>
      </c>
      <c r="Q134">
        <v>1428052</v>
      </c>
      <c r="R134" t="s">
        <v>2083</v>
      </c>
      <c r="S134" t="s">
        <v>84</v>
      </c>
      <c r="T134" t="s">
        <v>2152</v>
      </c>
      <c r="U134" t="s">
        <v>120</v>
      </c>
      <c r="V134" t="b">
        <v>0</v>
      </c>
      <c r="W134" t="s">
        <v>2022</v>
      </c>
      <c r="X134" t="b">
        <v>0</v>
      </c>
      <c r="Y134" t="s">
        <v>2022</v>
      </c>
      <c r="Z134" t="s">
        <v>2944</v>
      </c>
      <c r="AA134" t="s">
        <v>192</v>
      </c>
      <c r="AB134" t="s">
        <v>192</v>
      </c>
    </row>
    <row r="135" spans="1:28" x14ac:dyDescent="0.3">
      <c r="A135" t="s">
        <v>566</v>
      </c>
      <c r="B135" t="s">
        <v>1663</v>
      </c>
      <c r="C135" t="s">
        <v>796</v>
      </c>
      <c r="D135" t="s">
        <v>44</v>
      </c>
      <c r="E135" s="1">
        <v>46055</v>
      </c>
      <c r="F135">
        <v>58</v>
      </c>
      <c r="G135">
        <v>1</v>
      </c>
      <c r="H135">
        <v>69</v>
      </c>
      <c r="I135">
        <v>2</v>
      </c>
      <c r="J135" t="s">
        <v>2585</v>
      </c>
      <c r="K135" t="s">
        <v>1959</v>
      </c>
      <c r="L135" t="s">
        <v>712</v>
      </c>
      <c r="M135" s="3" t="str">
        <f>HYPERLINK("https://ovidsp.ovid.com/ovidweb.cgi?T=JS&amp;NEWS=n&amp;CSC=Y&amp;PAGE=toc&amp;D=yrovft&amp;AN=00003453-000000000-00000","https://ovidsp.ovid.com/ovidweb.cgi?T=JS&amp;NEWS=n&amp;CSC=Y&amp;PAGE=toc&amp;D=yrovft&amp;AN=00003453-000000000-00000")</f>
        <v>https://ovidsp.ovid.com/ovidweb.cgi?T=JS&amp;NEWS=n&amp;CSC=Y&amp;PAGE=toc&amp;D=yrovft&amp;AN=00003453-000000000-00000</v>
      </c>
      <c r="N135" t="s">
        <v>639</v>
      </c>
      <c r="O135" t="s">
        <v>2151</v>
      </c>
      <c r="P135" t="s">
        <v>2431</v>
      </c>
      <c r="Q135">
        <v>1428052</v>
      </c>
      <c r="R135" t="s">
        <v>1739</v>
      </c>
      <c r="S135" t="s">
        <v>84</v>
      </c>
      <c r="T135" t="s">
        <v>2152</v>
      </c>
      <c r="U135" t="s">
        <v>1155</v>
      </c>
      <c r="V135" t="b">
        <v>1</v>
      </c>
      <c r="W135" t="s">
        <v>1302</v>
      </c>
      <c r="X135" t="b">
        <v>0</v>
      </c>
      <c r="Y135" t="s">
        <v>2022</v>
      </c>
      <c r="Z135" t="s">
        <v>2440</v>
      </c>
      <c r="AA135" t="s">
        <v>192</v>
      </c>
      <c r="AB135" t="s">
        <v>192</v>
      </c>
    </row>
    <row r="136" spans="1:28" x14ac:dyDescent="0.3">
      <c r="A136" t="s">
        <v>2900</v>
      </c>
      <c r="B136" t="s">
        <v>2022</v>
      </c>
      <c r="C136" t="s">
        <v>87</v>
      </c>
      <c r="D136" t="s">
        <v>44</v>
      </c>
      <c r="E136" s="1">
        <v>46055</v>
      </c>
      <c r="F136">
        <v>36</v>
      </c>
      <c r="G136">
        <v>1</v>
      </c>
      <c r="H136">
        <v>47</v>
      </c>
      <c r="I136">
        <v>1</v>
      </c>
      <c r="J136" t="s">
        <v>672</v>
      </c>
      <c r="K136" t="s">
        <v>1959</v>
      </c>
      <c r="L136" t="s">
        <v>2919</v>
      </c>
      <c r="M136" s="3" t="str">
        <f>HYPERLINK("https://ovidsp.ovid.com/ovidweb.cgi?T=JS&amp;NEWS=n&amp;CSC=Y&amp;PAGE=toc&amp;D=yrovft&amp;AN=00003446-000000000-00000","https://ovidsp.ovid.com/ovidweb.cgi?T=JS&amp;NEWS=n&amp;CSC=Y&amp;PAGE=toc&amp;D=yrovft&amp;AN=00003446-000000000-00000")</f>
        <v>https://ovidsp.ovid.com/ovidweb.cgi?T=JS&amp;NEWS=n&amp;CSC=Y&amp;PAGE=toc&amp;D=yrovft&amp;AN=00003446-000000000-00000</v>
      </c>
      <c r="N136" t="s">
        <v>1599</v>
      </c>
      <c r="O136" t="s">
        <v>2151</v>
      </c>
      <c r="P136" t="s">
        <v>2431</v>
      </c>
      <c r="Q136">
        <v>1428052</v>
      </c>
      <c r="R136" t="s">
        <v>1670</v>
      </c>
      <c r="S136" t="s">
        <v>84</v>
      </c>
      <c r="T136" t="s">
        <v>2152</v>
      </c>
      <c r="U136" t="s">
        <v>429</v>
      </c>
      <c r="V136" t="b">
        <v>1</v>
      </c>
      <c r="W136" t="s">
        <v>2682</v>
      </c>
      <c r="X136" t="b">
        <v>0</v>
      </c>
      <c r="Y136" t="s">
        <v>2022</v>
      </c>
      <c r="Z136" t="s">
        <v>1351</v>
      </c>
      <c r="AA136" t="s">
        <v>192</v>
      </c>
      <c r="AB136" t="s">
        <v>192</v>
      </c>
    </row>
    <row r="137" spans="1:28" x14ac:dyDescent="0.3">
      <c r="A137" t="s">
        <v>2029</v>
      </c>
      <c r="B137" t="s">
        <v>2022</v>
      </c>
      <c r="C137" t="s">
        <v>937</v>
      </c>
      <c r="D137" t="s">
        <v>44</v>
      </c>
      <c r="E137" s="1">
        <v>46055</v>
      </c>
      <c r="F137">
        <v>1</v>
      </c>
      <c r="G137">
        <v>1</v>
      </c>
      <c r="H137">
        <v>5</v>
      </c>
      <c r="I137">
        <v>4</v>
      </c>
      <c r="J137" t="s">
        <v>114</v>
      </c>
      <c r="K137" t="s">
        <v>1363</v>
      </c>
      <c r="L137" t="s">
        <v>2771</v>
      </c>
      <c r="M137" s="3" t="str">
        <f>HYPERLINK("https://ovidsp.ovid.com/ovidweb.cgi?T=JS&amp;NEWS=n&amp;CSC=Y&amp;PAGE=toc&amp;D=yrovft&amp;AN=02211145-000000000-00000","https://ovidsp.ovid.com/ovidweb.cgi?T=JS&amp;NEWS=n&amp;CSC=Y&amp;PAGE=toc&amp;D=yrovft&amp;AN=02211145-000000000-00000")</f>
        <v>https://ovidsp.ovid.com/ovidweb.cgi?T=JS&amp;NEWS=n&amp;CSC=Y&amp;PAGE=toc&amp;D=yrovft&amp;AN=02211145-000000000-00000</v>
      </c>
      <c r="N137" t="s">
        <v>2287</v>
      </c>
      <c r="O137" t="s">
        <v>2151</v>
      </c>
      <c r="P137" t="s">
        <v>2431</v>
      </c>
      <c r="Q137">
        <v>1428052</v>
      </c>
      <c r="R137" t="s">
        <v>2398</v>
      </c>
      <c r="S137" t="s">
        <v>84</v>
      </c>
      <c r="T137" t="s">
        <v>2152</v>
      </c>
      <c r="U137" t="s">
        <v>1894</v>
      </c>
      <c r="V137" t="b">
        <v>1</v>
      </c>
      <c r="W137" t="s">
        <v>1282</v>
      </c>
      <c r="X137" t="b">
        <v>0</v>
      </c>
      <c r="Y137" t="s">
        <v>2022</v>
      </c>
      <c r="Z137" t="s">
        <v>2022</v>
      </c>
      <c r="AA137" t="s">
        <v>192</v>
      </c>
      <c r="AB137" t="s">
        <v>192</v>
      </c>
    </row>
    <row r="138" spans="1:28" x14ac:dyDescent="0.3">
      <c r="A138" t="s">
        <v>95</v>
      </c>
      <c r="B138" t="s">
        <v>1693</v>
      </c>
      <c r="C138" t="s">
        <v>174</v>
      </c>
      <c r="D138" t="s">
        <v>44</v>
      </c>
      <c r="E138" s="1">
        <v>46055</v>
      </c>
      <c r="F138">
        <v>23</v>
      </c>
      <c r="G138">
        <v>1</v>
      </c>
      <c r="H138">
        <v>48</v>
      </c>
      <c r="I138">
        <v>1</v>
      </c>
      <c r="J138" t="s">
        <v>3119</v>
      </c>
      <c r="K138" t="s">
        <v>2380</v>
      </c>
      <c r="L138" t="s">
        <v>2919</v>
      </c>
      <c r="M138" s="3" t="str">
        <f>HYPERLINK("https://ovidsp.ovid.com/ovidweb.cgi?T=JS&amp;NEWS=n&amp;CSC=Y&amp;PAGE=toc&amp;D=yrovft&amp;AN=00132981-000000000-00000","https://ovidsp.ovid.com/ovidweb.cgi?T=JS&amp;NEWS=n&amp;CSC=Y&amp;PAGE=toc&amp;D=yrovft&amp;AN=00132981-000000000-00000")</f>
        <v>https://ovidsp.ovid.com/ovidweb.cgi?T=JS&amp;NEWS=n&amp;CSC=Y&amp;PAGE=toc&amp;D=yrovft&amp;AN=00132981-000000000-00000</v>
      </c>
      <c r="N138" t="s">
        <v>2577</v>
      </c>
      <c r="O138" t="s">
        <v>2151</v>
      </c>
      <c r="P138" t="s">
        <v>2431</v>
      </c>
      <c r="Q138">
        <v>1428052</v>
      </c>
      <c r="R138" t="s">
        <v>2962</v>
      </c>
      <c r="S138" t="s">
        <v>84</v>
      </c>
      <c r="T138" t="s">
        <v>2152</v>
      </c>
      <c r="U138" t="s">
        <v>2209</v>
      </c>
      <c r="V138" t="b">
        <v>0</v>
      </c>
      <c r="W138" t="s">
        <v>2022</v>
      </c>
      <c r="X138" t="b">
        <v>0</v>
      </c>
      <c r="Y138" t="s">
        <v>2022</v>
      </c>
      <c r="Z138" t="s">
        <v>831</v>
      </c>
      <c r="AA138" t="s">
        <v>192</v>
      </c>
      <c r="AB138" t="s">
        <v>192</v>
      </c>
    </row>
    <row r="139" spans="1:28" x14ac:dyDescent="0.3">
      <c r="A139" t="s">
        <v>885</v>
      </c>
      <c r="B139" t="s">
        <v>2756</v>
      </c>
      <c r="C139" t="s">
        <v>578</v>
      </c>
      <c r="D139" t="s">
        <v>44</v>
      </c>
      <c r="E139" s="1">
        <v>46055</v>
      </c>
      <c r="F139">
        <v>10</v>
      </c>
      <c r="G139">
        <v>6</v>
      </c>
      <c r="H139">
        <v>14</v>
      </c>
      <c r="I139">
        <v>6</v>
      </c>
      <c r="J139" t="s">
        <v>1622</v>
      </c>
      <c r="K139" t="s">
        <v>2723</v>
      </c>
      <c r="L139" t="s">
        <v>1124</v>
      </c>
      <c r="M139" s="3" t="str">
        <f>HYPERLINK("https://ovidsp.ovid.com/ovidweb.cgi?T=JS&amp;NEWS=n&amp;CSC=Y&amp;PAGE=toc&amp;D=yrovft&amp;AN=01713670-000000000-00000","https://ovidsp.ovid.com/ovidweb.cgi?T=JS&amp;NEWS=n&amp;CSC=Y&amp;PAGE=toc&amp;D=yrovft&amp;AN=01713670-000000000-00000")</f>
        <v>https://ovidsp.ovid.com/ovidweb.cgi?T=JS&amp;NEWS=n&amp;CSC=Y&amp;PAGE=toc&amp;D=yrovft&amp;AN=01713670-000000000-00000</v>
      </c>
      <c r="N139" t="s">
        <v>1455</v>
      </c>
      <c r="O139" t="s">
        <v>2151</v>
      </c>
      <c r="P139" t="s">
        <v>2431</v>
      </c>
      <c r="Q139">
        <v>1428052</v>
      </c>
      <c r="R139" t="s">
        <v>460</v>
      </c>
      <c r="S139" t="s">
        <v>84</v>
      </c>
      <c r="T139" t="s">
        <v>2152</v>
      </c>
      <c r="U139" t="s">
        <v>774</v>
      </c>
      <c r="V139" t="b">
        <v>1</v>
      </c>
      <c r="W139" t="s">
        <v>1822</v>
      </c>
      <c r="X139" t="b">
        <v>0</v>
      </c>
      <c r="Y139" t="s">
        <v>2022</v>
      </c>
      <c r="Z139" t="s">
        <v>1351</v>
      </c>
      <c r="AA139" t="s">
        <v>192</v>
      </c>
      <c r="AB139" t="s">
        <v>192</v>
      </c>
    </row>
    <row r="140" spans="1:28" x14ac:dyDescent="0.3">
      <c r="A140" t="s">
        <v>1421</v>
      </c>
      <c r="B140" t="s">
        <v>2022</v>
      </c>
      <c r="C140" t="s">
        <v>2456</v>
      </c>
      <c r="D140" t="s">
        <v>44</v>
      </c>
      <c r="E140" s="1">
        <v>46055</v>
      </c>
      <c r="F140">
        <v>1</v>
      </c>
      <c r="G140">
        <v>1</v>
      </c>
      <c r="H140">
        <v>10</v>
      </c>
      <c r="I140">
        <v>1</v>
      </c>
      <c r="J140" t="s">
        <v>401</v>
      </c>
      <c r="K140" t="s">
        <v>2518</v>
      </c>
      <c r="L140" t="s">
        <v>712</v>
      </c>
      <c r="M140" s="3" t="str">
        <f>HYPERLINK("https://ovidsp.ovid.com/ovidweb.cgi?T=JS&amp;NEWS=n&amp;CSC=Y&amp;PAGE=toc&amp;D=yrovft&amp;AN=01984727-000000000-00000","https://ovidsp.ovid.com/ovidweb.cgi?T=JS&amp;NEWS=n&amp;CSC=Y&amp;PAGE=toc&amp;D=yrovft&amp;AN=01984727-000000000-00000")</f>
        <v>https://ovidsp.ovid.com/ovidweb.cgi?T=JS&amp;NEWS=n&amp;CSC=Y&amp;PAGE=toc&amp;D=yrovft&amp;AN=01984727-000000000-00000</v>
      </c>
      <c r="N140" t="s">
        <v>165</v>
      </c>
      <c r="O140" t="s">
        <v>2151</v>
      </c>
      <c r="P140" t="s">
        <v>2431</v>
      </c>
      <c r="Q140">
        <v>1428052</v>
      </c>
      <c r="R140" t="s">
        <v>1884</v>
      </c>
      <c r="S140" t="s">
        <v>84</v>
      </c>
      <c r="T140" t="s">
        <v>2152</v>
      </c>
      <c r="U140" t="s">
        <v>1873</v>
      </c>
      <c r="V140" t="b">
        <v>0</v>
      </c>
      <c r="W140" t="s">
        <v>2022</v>
      </c>
      <c r="X140" t="b">
        <v>0</v>
      </c>
      <c r="Y140" t="s">
        <v>2022</v>
      </c>
      <c r="Z140" t="s">
        <v>2022</v>
      </c>
      <c r="AA140" t="s">
        <v>192</v>
      </c>
      <c r="AB140" t="s">
        <v>192</v>
      </c>
    </row>
    <row r="141" spans="1:28" x14ac:dyDescent="0.3">
      <c r="A141" t="s">
        <v>2071</v>
      </c>
      <c r="B141" t="s">
        <v>2260</v>
      </c>
      <c r="C141" t="s">
        <v>1665</v>
      </c>
      <c r="D141" t="s">
        <v>44</v>
      </c>
      <c r="E141" s="1">
        <v>46055</v>
      </c>
      <c r="F141">
        <v>26</v>
      </c>
      <c r="G141">
        <v>1</v>
      </c>
      <c r="H141">
        <v>37</v>
      </c>
      <c r="I141">
        <v>1</v>
      </c>
      <c r="J141" t="s">
        <v>672</v>
      </c>
      <c r="K141" t="s">
        <v>1959</v>
      </c>
      <c r="L141" t="s">
        <v>2919</v>
      </c>
      <c r="M141" s="3" t="str">
        <f>HYPERLINK("https://ovidsp.ovid.com/ovidweb.cgi?T=JS&amp;NEWS=n&amp;CSC=Y&amp;PAGE=toc&amp;D=yrovft&amp;AN=00001648-000000000-00000","https://ovidsp.ovid.com/ovidweb.cgi?T=JS&amp;NEWS=n&amp;CSC=Y&amp;PAGE=toc&amp;D=yrovft&amp;AN=00001648-000000000-00000")</f>
        <v>https://ovidsp.ovid.com/ovidweb.cgi?T=JS&amp;NEWS=n&amp;CSC=Y&amp;PAGE=toc&amp;D=yrovft&amp;AN=00001648-000000000-00000</v>
      </c>
      <c r="N141" t="s">
        <v>1226</v>
      </c>
      <c r="O141" t="s">
        <v>2151</v>
      </c>
      <c r="P141" t="s">
        <v>2431</v>
      </c>
      <c r="Q141">
        <v>1428052</v>
      </c>
      <c r="R141" t="s">
        <v>2273</v>
      </c>
      <c r="S141" t="s">
        <v>84</v>
      </c>
      <c r="T141" t="s">
        <v>2152</v>
      </c>
      <c r="U141" t="s">
        <v>1791</v>
      </c>
      <c r="V141" t="b">
        <v>1</v>
      </c>
      <c r="W141" t="s">
        <v>12</v>
      </c>
      <c r="X141" t="b">
        <v>0</v>
      </c>
      <c r="Y141" t="s">
        <v>2022</v>
      </c>
      <c r="Z141" t="s">
        <v>1078</v>
      </c>
      <c r="AA141" t="s">
        <v>192</v>
      </c>
      <c r="AB141" t="s">
        <v>192</v>
      </c>
    </row>
    <row r="142" spans="1:28" x14ac:dyDescent="0.3">
      <c r="A142" t="s">
        <v>2463</v>
      </c>
      <c r="B142" t="s">
        <v>1237</v>
      </c>
      <c r="C142" t="s">
        <v>2251</v>
      </c>
      <c r="D142" t="s">
        <v>44</v>
      </c>
      <c r="E142" s="1">
        <v>46055</v>
      </c>
      <c r="F142">
        <v>32</v>
      </c>
      <c r="G142">
        <v>1</v>
      </c>
      <c r="H142">
        <v>43</v>
      </c>
      <c r="I142">
        <v>2</v>
      </c>
      <c r="J142" t="s">
        <v>2585</v>
      </c>
      <c r="K142" t="s">
        <v>1959</v>
      </c>
      <c r="L142" t="s">
        <v>712</v>
      </c>
      <c r="M142" s="3" t="str">
        <f>HYPERLINK("https://ovidsp.ovid.com/ovidweb.cgi?T=JS&amp;NEWS=n&amp;CSC=Y&amp;PAGE=toc&amp;D=yrovft&amp;AN=00003643-000000000-00000","https://ovidsp.ovid.com/ovidweb.cgi?T=JS&amp;NEWS=n&amp;CSC=Y&amp;PAGE=toc&amp;D=yrovft&amp;AN=00003643-000000000-00000")</f>
        <v>https://ovidsp.ovid.com/ovidweb.cgi?T=JS&amp;NEWS=n&amp;CSC=Y&amp;PAGE=toc&amp;D=yrovft&amp;AN=00003643-000000000-00000</v>
      </c>
      <c r="N142" t="s">
        <v>2553</v>
      </c>
      <c r="O142" t="s">
        <v>2151</v>
      </c>
      <c r="P142" t="s">
        <v>2431</v>
      </c>
      <c r="Q142">
        <v>1428052</v>
      </c>
      <c r="R142" t="s">
        <v>3068</v>
      </c>
      <c r="S142" t="s">
        <v>84</v>
      </c>
      <c r="T142" t="s">
        <v>2152</v>
      </c>
      <c r="U142" t="s">
        <v>694</v>
      </c>
      <c r="V142" t="b">
        <v>1</v>
      </c>
      <c r="W142" t="s">
        <v>1058</v>
      </c>
      <c r="X142" t="b">
        <v>0</v>
      </c>
      <c r="Y142" t="s">
        <v>2022</v>
      </c>
      <c r="Z142" t="s">
        <v>2440</v>
      </c>
      <c r="AA142" t="s">
        <v>192</v>
      </c>
      <c r="AB142" t="s">
        <v>192</v>
      </c>
    </row>
    <row r="143" spans="1:28" x14ac:dyDescent="0.3">
      <c r="A143" t="s">
        <v>564</v>
      </c>
      <c r="B143" t="s">
        <v>2022</v>
      </c>
      <c r="C143" t="s">
        <v>2981</v>
      </c>
      <c r="D143" t="s">
        <v>44</v>
      </c>
      <c r="E143" s="1">
        <v>46055</v>
      </c>
      <c r="F143">
        <v>1</v>
      </c>
      <c r="G143">
        <v>1</v>
      </c>
      <c r="H143">
        <v>5</v>
      </c>
      <c r="I143">
        <v>1</v>
      </c>
      <c r="J143" t="s">
        <v>688</v>
      </c>
      <c r="K143" t="s">
        <v>2940</v>
      </c>
      <c r="L143" t="s">
        <v>712</v>
      </c>
      <c r="M143" s="3" t="str">
        <f>HYPERLINK("https://ovidsp.ovid.com/ovidweb.cgi?T=JS&amp;NEWS=n&amp;CSC=Y&amp;PAGE=toc&amp;D=yrovft&amp;AN=02260475-000000000-00000","https://ovidsp.ovid.com/ovidweb.cgi?T=JS&amp;NEWS=n&amp;CSC=Y&amp;PAGE=toc&amp;D=yrovft&amp;AN=02260475-000000000-00000")</f>
        <v>https://ovidsp.ovid.com/ovidweb.cgi?T=JS&amp;NEWS=n&amp;CSC=Y&amp;PAGE=toc&amp;D=yrovft&amp;AN=02260475-000000000-00000</v>
      </c>
      <c r="N143" t="s">
        <v>2876</v>
      </c>
      <c r="O143" t="s">
        <v>2151</v>
      </c>
      <c r="P143" t="s">
        <v>2431</v>
      </c>
      <c r="Q143">
        <v>1428052</v>
      </c>
      <c r="R143" t="s">
        <v>808</v>
      </c>
      <c r="S143" t="s">
        <v>84</v>
      </c>
      <c r="T143" t="s">
        <v>2152</v>
      </c>
      <c r="U143" t="s">
        <v>1407</v>
      </c>
      <c r="V143" t="b">
        <v>1</v>
      </c>
      <c r="W143" t="s">
        <v>2331</v>
      </c>
      <c r="X143" t="b">
        <v>0</v>
      </c>
      <c r="Y143" t="s">
        <v>2022</v>
      </c>
      <c r="Z143" t="s">
        <v>1351</v>
      </c>
      <c r="AA143" t="s">
        <v>192</v>
      </c>
      <c r="AB143" t="s">
        <v>192</v>
      </c>
    </row>
    <row r="144" spans="1:28" x14ac:dyDescent="0.3">
      <c r="A144" t="s">
        <v>2066</v>
      </c>
      <c r="B144" t="s">
        <v>1863</v>
      </c>
      <c r="C144" t="s">
        <v>1410</v>
      </c>
      <c r="D144" t="s">
        <v>44</v>
      </c>
      <c r="E144" s="1">
        <v>46055</v>
      </c>
      <c r="F144">
        <v>24</v>
      </c>
      <c r="G144">
        <v>1</v>
      </c>
      <c r="H144">
        <v>35</v>
      </c>
      <c r="I144">
        <v>2</v>
      </c>
      <c r="J144" t="s">
        <v>359</v>
      </c>
      <c r="K144" t="s">
        <v>1959</v>
      </c>
      <c r="L144" t="s">
        <v>2441</v>
      </c>
      <c r="M144" s="3" t="str">
        <f>HYPERLINK("https://ovidsp.ovid.com/ovidweb.cgi?T=JS&amp;NEWS=n&amp;CSC=Y&amp;PAGE=toc&amp;D=yrovft&amp;AN=00008469-000000000-00000","https://ovidsp.ovid.com/ovidweb.cgi?T=JS&amp;NEWS=n&amp;CSC=Y&amp;PAGE=toc&amp;D=yrovft&amp;AN=00008469-000000000-00000")</f>
        <v>https://ovidsp.ovid.com/ovidweb.cgi?T=JS&amp;NEWS=n&amp;CSC=Y&amp;PAGE=toc&amp;D=yrovft&amp;AN=00008469-000000000-00000</v>
      </c>
      <c r="N144" t="s">
        <v>2216</v>
      </c>
      <c r="O144" t="s">
        <v>2151</v>
      </c>
      <c r="P144" t="s">
        <v>2431</v>
      </c>
      <c r="Q144">
        <v>1428052</v>
      </c>
      <c r="R144" t="s">
        <v>1194</v>
      </c>
      <c r="S144" t="s">
        <v>84</v>
      </c>
      <c r="T144" t="s">
        <v>2152</v>
      </c>
      <c r="U144" t="s">
        <v>302</v>
      </c>
      <c r="V144" t="b">
        <v>1</v>
      </c>
      <c r="W144" t="s">
        <v>2716</v>
      </c>
      <c r="X144" t="b">
        <v>0</v>
      </c>
      <c r="Y144" t="s">
        <v>2022</v>
      </c>
      <c r="Z144" t="s">
        <v>690</v>
      </c>
      <c r="AA144" t="s">
        <v>192</v>
      </c>
      <c r="AB144" t="s">
        <v>192</v>
      </c>
    </row>
    <row r="145" spans="1:28" x14ac:dyDescent="0.3">
      <c r="A145" t="s">
        <v>317</v>
      </c>
      <c r="B145" t="s">
        <v>1924</v>
      </c>
      <c r="C145" t="s">
        <v>2971</v>
      </c>
      <c r="D145" t="s">
        <v>44</v>
      </c>
      <c r="E145" s="1">
        <v>46055</v>
      </c>
      <c r="F145">
        <v>22</v>
      </c>
      <c r="G145">
        <v>2</v>
      </c>
      <c r="H145">
        <v>33</v>
      </c>
      <c r="I145">
        <v>1</v>
      </c>
      <c r="J145" t="s">
        <v>33</v>
      </c>
      <c r="K145" t="s">
        <v>1398</v>
      </c>
      <c r="L145" t="s">
        <v>712</v>
      </c>
      <c r="M145" s="3" t="str">
        <f>HYPERLINK("https://ovidsp.ovid.com/ovidweb.cgi?T=JS&amp;NEWS=n&amp;CSC=Y&amp;PAGE=toc&amp;D=yrovft&amp;AN=00063110-000000000-00000","https://ovidsp.ovid.com/ovidweb.cgi?T=JS&amp;NEWS=n&amp;CSC=Y&amp;PAGE=toc&amp;D=yrovft&amp;AN=00063110-000000000-00000")</f>
        <v>https://ovidsp.ovid.com/ovidweb.cgi?T=JS&amp;NEWS=n&amp;CSC=Y&amp;PAGE=toc&amp;D=yrovft&amp;AN=00063110-000000000-00000</v>
      </c>
      <c r="N145" t="s">
        <v>130</v>
      </c>
      <c r="O145" t="s">
        <v>2151</v>
      </c>
      <c r="P145" t="s">
        <v>2431</v>
      </c>
      <c r="Q145">
        <v>1428052</v>
      </c>
      <c r="R145" t="s">
        <v>2073</v>
      </c>
      <c r="S145" t="s">
        <v>84</v>
      </c>
      <c r="T145" t="s">
        <v>2152</v>
      </c>
      <c r="U145" t="s">
        <v>1874</v>
      </c>
      <c r="V145" t="b">
        <v>1</v>
      </c>
      <c r="W145" t="s">
        <v>583</v>
      </c>
      <c r="X145" t="b">
        <v>0</v>
      </c>
      <c r="Y145" t="s">
        <v>2022</v>
      </c>
      <c r="Z145" t="s">
        <v>2944</v>
      </c>
      <c r="AA145" t="s">
        <v>192</v>
      </c>
      <c r="AB145" t="s">
        <v>192</v>
      </c>
    </row>
    <row r="146" spans="1:28" x14ac:dyDescent="0.3">
      <c r="A146" t="s">
        <v>1660</v>
      </c>
      <c r="B146" t="s">
        <v>2327</v>
      </c>
      <c r="C146" t="s">
        <v>2612</v>
      </c>
      <c r="D146" t="s">
        <v>44</v>
      </c>
      <c r="E146" s="1">
        <v>46055</v>
      </c>
      <c r="F146">
        <v>27</v>
      </c>
      <c r="G146">
        <v>1</v>
      </c>
      <c r="H146">
        <v>38</v>
      </c>
      <c r="I146">
        <v>1</v>
      </c>
      <c r="J146" t="s">
        <v>672</v>
      </c>
      <c r="K146" t="s">
        <v>1959</v>
      </c>
      <c r="L146" t="s">
        <v>2919</v>
      </c>
      <c r="M146" s="3" t="str">
        <f>HYPERLINK("https://ovidsp.ovid.com/ovidweb.cgi?T=JS&amp;NEWS=n&amp;CSC=Y&amp;PAGE=toc&amp;D=yrovft&amp;AN=00042737-000000000-00000","https://ovidsp.ovid.com/ovidweb.cgi?T=JS&amp;NEWS=n&amp;CSC=Y&amp;PAGE=toc&amp;D=yrovft&amp;AN=00042737-000000000-00000")</f>
        <v>https://ovidsp.ovid.com/ovidweb.cgi?T=JS&amp;NEWS=n&amp;CSC=Y&amp;PAGE=toc&amp;D=yrovft&amp;AN=00042737-000000000-00000</v>
      </c>
      <c r="N146" t="s">
        <v>2599</v>
      </c>
      <c r="O146" t="s">
        <v>2151</v>
      </c>
      <c r="P146" t="s">
        <v>2431</v>
      </c>
      <c r="Q146">
        <v>1428052</v>
      </c>
      <c r="R146" t="s">
        <v>2133</v>
      </c>
      <c r="S146" t="s">
        <v>84</v>
      </c>
      <c r="T146" t="s">
        <v>2152</v>
      </c>
      <c r="U146" t="s">
        <v>586</v>
      </c>
      <c r="V146" t="b">
        <v>1</v>
      </c>
      <c r="W146" t="s">
        <v>2134</v>
      </c>
      <c r="X146" t="b">
        <v>0</v>
      </c>
      <c r="Y146" t="s">
        <v>2022</v>
      </c>
      <c r="Z146" t="s">
        <v>1351</v>
      </c>
      <c r="AA146" t="s">
        <v>192</v>
      </c>
      <c r="AB146" t="s">
        <v>192</v>
      </c>
    </row>
    <row r="147" spans="1:28" x14ac:dyDescent="0.3">
      <c r="A147" t="s">
        <v>917</v>
      </c>
      <c r="B147" t="s">
        <v>894</v>
      </c>
      <c r="C147" t="s">
        <v>258</v>
      </c>
      <c r="D147" t="s">
        <v>44</v>
      </c>
      <c r="E147" s="1">
        <v>46055</v>
      </c>
      <c r="F147">
        <v>1</v>
      </c>
      <c r="G147">
        <v>1</v>
      </c>
      <c r="H147">
        <v>8</v>
      </c>
      <c r="I147">
        <v>1</v>
      </c>
      <c r="J147" t="s">
        <v>2828</v>
      </c>
      <c r="K147" t="s">
        <v>617</v>
      </c>
      <c r="L147" t="s">
        <v>2365</v>
      </c>
      <c r="M147" s="3" t="str">
        <f>HYPERLINK("https://ovidsp.ovid.com/ovidweb.cgi?T=JS&amp;NEWS=n&amp;CSC=Y&amp;PAGE=toc&amp;D=yrovft&amp;AN=01517119-000000000-00000","https://ovidsp.ovid.com/ovidweb.cgi?T=JS&amp;NEWS=n&amp;CSC=Y&amp;PAGE=toc&amp;D=yrovft&amp;AN=01517119-000000000-00000")</f>
        <v>https://ovidsp.ovid.com/ovidweb.cgi?T=JS&amp;NEWS=n&amp;CSC=Y&amp;PAGE=toc&amp;D=yrovft&amp;AN=01517119-000000000-00000</v>
      </c>
      <c r="N147" t="s">
        <v>1476</v>
      </c>
      <c r="O147" t="s">
        <v>2151</v>
      </c>
      <c r="P147" t="s">
        <v>2431</v>
      </c>
      <c r="Q147">
        <v>1428052</v>
      </c>
      <c r="R147" t="s">
        <v>125</v>
      </c>
      <c r="S147" t="s">
        <v>84</v>
      </c>
      <c r="T147" t="s">
        <v>2152</v>
      </c>
      <c r="U147" t="s">
        <v>1134</v>
      </c>
      <c r="V147" t="b">
        <v>0</v>
      </c>
      <c r="W147" t="s">
        <v>2022</v>
      </c>
      <c r="X147" t="b">
        <v>0</v>
      </c>
      <c r="Y147" t="s">
        <v>2022</v>
      </c>
      <c r="Z147" t="s">
        <v>945</v>
      </c>
      <c r="AA147" t="s">
        <v>192</v>
      </c>
      <c r="AB147" t="s">
        <v>192</v>
      </c>
    </row>
    <row r="148" spans="1:28" x14ac:dyDescent="0.3">
      <c r="A148" t="s">
        <v>2670</v>
      </c>
      <c r="B148" t="s">
        <v>2408</v>
      </c>
      <c r="C148" t="s">
        <v>558</v>
      </c>
      <c r="D148" t="s">
        <v>44</v>
      </c>
      <c r="E148" s="1">
        <v>46055</v>
      </c>
      <c r="F148">
        <v>1</v>
      </c>
      <c r="G148">
        <v>2</v>
      </c>
      <c r="H148">
        <v>5</v>
      </c>
      <c r="I148">
        <v>4</v>
      </c>
      <c r="J148" t="s">
        <v>2265</v>
      </c>
      <c r="K148" t="s">
        <v>313</v>
      </c>
      <c r="L148" t="s">
        <v>243</v>
      </c>
      <c r="M148" s="3" t="str">
        <f>HYPERLINK("https://ovidsp.ovid.com/ovidweb.cgi?T=JS&amp;NEWS=n&amp;CSC=Y&amp;PAGE=toc&amp;D=yrovft&amp;AN=00132578-000000000-00000","https://ovidsp.ovid.com/ovidweb.cgi?T=JS&amp;NEWS=n&amp;CSC=Y&amp;PAGE=toc&amp;D=yrovft&amp;AN=00132578-000000000-00000")</f>
        <v>https://ovidsp.ovid.com/ovidweb.cgi?T=JS&amp;NEWS=n&amp;CSC=Y&amp;PAGE=toc&amp;D=yrovft&amp;AN=00132578-000000000-00000</v>
      </c>
      <c r="N148" t="s">
        <v>2022</v>
      </c>
      <c r="O148" t="s">
        <v>2151</v>
      </c>
      <c r="P148" t="s">
        <v>2431</v>
      </c>
      <c r="Q148">
        <v>1428052</v>
      </c>
      <c r="R148" t="s">
        <v>1572</v>
      </c>
      <c r="S148" t="s">
        <v>84</v>
      </c>
      <c r="T148" t="s">
        <v>2152</v>
      </c>
      <c r="U148" t="s">
        <v>2096</v>
      </c>
      <c r="V148" t="b">
        <v>0</v>
      </c>
      <c r="W148" t="s">
        <v>2022</v>
      </c>
      <c r="X148" t="b">
        <v>0</v>
      </c>
      <c r="Y148" t="s">
        <v>2022</v>
      </c>
      <c r="Z148" t="s">
        <v>1351</v>
      </c>
      <c r="AA148" t="s">
        <v>192</v>
      </c>
      <c r="AB148" t="s">
        <v>192</v>
      </c>
    </row>
    <row r="149" spans="1:28" x14ac:dyDescent="0.3">
      <c r="A149" t="s">
        <v>2147</v>
      </c>
      <c r="B149" t="s">
        <v>1298</v>
      </c>
      <c r="C149" t="s">
        <v>81</v>
      </c>
      <c r="D149" t="s">
        <v>44</v>
      </c>
      <c r="E149" s="1">
        <v>46055</v>
      </c>
      <c r="F149">
        <v>2</v>
      </c>
      <c r="G149">
        <v>1</v>
      </c>
      <c r="H149">
        <v>9</v>
      </c>
      <c r="I149">
        <v>4</v>
      </c>
      <c r="J149" t="s">
        <v>4</v>
      </c>
      <c r="K149" t="s">
        <v>3136</v>
      </c>
      <c r="L149" t="s">
        <v>1970</v>
      </c>
      <c r="M149" s="3" t="str">
        <f>HYPERLINK("https://ovidsp.ovid.com/ovidweb.cgi?T=JS&amp;NEWS=n&amp;CSC=Y&amp;PAGE=toc&amp;D=yrovft&amp;AN=00132579-000000000-00000","https://ovidsp.ovid.com/ovidweb.cgi?T=JS&amp;NEWS=n&amp;CSC=Y&amp;PAGE=toc&amp;D=yrovft&amp;AN=00132579-000000000-00000")</f>
        <v>https://ovidsp.ovid.com/ovidweb.cgi?T=JS&amp;NEWS=n&amp;CSC=Y&amp;PAGE=toc&amp;D=yrovft&amp;AN=00132579-000000000-00000</v>
      </c>
      <c r="N149" t="s">
        <v>2022</v>
      </c>
      <c r="O149" t="s">
        <v>2151</v>
      </c>
      <c r="P149" t="s">
        <v>2431</v>
      </c>
      <c r="Q149">
        <v>1428052</v>
      </c>
      <c r="R149" t="s">
        <v>475</v>
      </c>
      <c r="S149" t="s">
        <v>84</v>
      </c>
      <c r="T149" t="s">
        <v>2152</v>
      </c>
      <c r="U149" t="s">
        <v>2493</v>
      </c>
      <c r="V149" t="b">
        <v>0</v>
      </c>
      <c r="W149" t="s">
        <v>2022</v>
      </c>
      <c r="X149" t="b">
        <v>0</v>
      </c>
      <c r="Y149" t="s">
        <v>2022</v>
      </c>
      <c r="Z149" t="s">
        <v>1351</v>
      </c>
      <c r="AA149" t="s">
        <v>192</v>
      </c>
      <c r="AB149" t="s">
        <v>192</v>
      </c>
    </row>
    <row r="150" spans="1:28" x14ac:dyDescent="0.3">
      <c r="A150" t="s">
        <v>116</v>
      </c>
      <c r="B150" t="s">
        <v>1228</v>
      </c>
      <c r="C150" t="s">
        <v>2871</v>
      </c>
      <c r="D150" t="s">
        <v>44</v>
      </c>
      <c r="E150" s="1">
        <v>46055</v>
      </c>
      <c r="F150">
        <v>6</v>
      </c>
      <c r="G150">
        <v>1</v>
      </c>
      <c r="H150">
        <v>12</v>
      </c>
      <c r="I150">
        <v>4</v>
      </c>
      <c r="J150" t="s">
        <v>680</v>
      </c>
      <c r="K150" t="s">
        <v>2011</v>
      </c>
      <c r="L150" t="s">
        <v>2304</v>
      </c>
      <c r="M150" s="3" t="str">
        <f>HYPERLINK("https://ovidsp.ovid.com/ovidweb.cgi?T=JS&amp;NEWS=n&amp;CSC=Y&amp;PAGE=toc&amp;D=yrovft&amp;AN=01241330-000000000-00000","https://ovidsp.ovid.com/ovidweb.cgi?T=JS&amp;NEWS=n&amp;CSC=Y&amp;PAGE=toc&amp;D=yrovft&amp;AN=01241330-000000000-00000")</f>
        <v>https://ovidsp.ovid.com/ovidweb.cgi?T=JS&amp;NEWS=n&amp;CSC=Y&amp;PAGE=toc&amp;D=yrovft&amp;AN=01241330-000000000-00000</v>
      </c>
      <c r="N150" t="s">
        <v>1561</v>
      </c>
      <c r="O150" t="s">
        <v>2151</v>
      </c>
      <c r="P150" t="s">
        <v>2431</v>
      </c>
      <c r="Q150">
        <v>1428052</v>
      </c>
      <c r="R150" t="s">
        <v>740</v>
      </c>
      <c r="S150" t="s">
        <v>84</v>
      </c>
      <c r="T150" t="s">
        <v>2152</v>
      </c>
      <c r="U150" t="s">
        <v>2237</v>
      </c>
      <c r="V150" t="b">
        <v>0</v>
      </c>
      <c r="W150" t="s">
        <v>2022</v>
      </c>
      <c r="X150" t="b">
        <v>0</v>
      </c>
      <c r="Y150" t="s">
        <v>2022</v>
      </c>
      <c r="Z150" t="s">
        <v>831</v>
      </c>
      <c r="AA150" t="s">
        <v>192</v>
      </c>
      <c r="AB150" t="s">
        <v>192</v>
      </c>
    </row>
    <row r="151" spans="1:28" x14ac:dyDescent="0.3">
      <c r="A151" t="s">
        <v>2976</v>
      </c>
      <c r="B151" t="s">
        <v>579</v>
      </c>
      <c r="C151" t="s">
        <v>523</v>
      </c>
      <c r="D151" t="s">
        <v>44</v>
      </c>
      <c r="E151" s="1">
        <v>46055</v>
      </c>
      <c r="F151">
        <v>7</v>
      </c>
      <c r="G151">
        <v>1</v>
      </c>
      <c r="H151">
        <v>29</v>
      </c>
      <c r="I151">
        <v>1</v>
      </c>
      <c r="J151" t="s">
        <v>771</v>
      </c>
      <c r="K151" t="s">
        <v>1613</v>
      </c>
      <c r="L151" t="s">
        <v>2919</v>
      </c>
      <c r="M151" s="3" t="str">
        <f>HYPERLINK("https://ovidsp.ovid.com/ovidweb.cgi?T=JS&amp;NEWS=n&amp;CSC=Y&amp;PAGE=toc&amp;D=yrovft&amp;AN=00132114-000000000-00000","https://ovidsp.ovid.com/ovidweb.cgi?T=JS&amp;NEWS=n&amp;CSC=Y&amp;PAGE=toc&amp;D=yrovft&amp;AN=00132114-000000000-00000")</f>
        <v>https://ovidsp.ovid.com/ovidweb.cgi?T=JS&amp;NEWS=n&amp;CSC=Y&amp;PAGE=toc&amp;D=yrovft&amp;AN=00132114-000000000-00000</v>
      </c>
      <c r="N151" t="s">
        <v>1236</v>
      </c>
      <c r="O151" t="s">
        <v>2151</v>
      </c>
      <c r="P151" t="s">
        <v>2431</v>
      </c>
      <c r="Q151">
        <v>1428052</v>
      </c>
      <c r="R151" t="s">
        <v>524</v>
      </c>
      <c r="S151" t="s">
        <v>84</v>
      </c>
      <c r="T151" t="s">
        <v>2152</v>
      </c>
      <c r="U151" t="s">
        <v>720</v>
      </c>
      <c r="V151" t="b">
        <v>1</v>
      </c>
      <c r="W151" t="s">
        <v>1746</v>
      </c>
      <c r="X151" t="b">
        <v>0</v>
      </c>
      <c r="Y151" t="s">
        <v>2022</v>
      </c>
      <c r="Z151" t="s">
        <v>2022</v>
      </c>
      <c r="AA151" t="s">
        <v>192</v>
      </c>
      <c r="AB151" t="s">
        <v>192</v>
      </c>
    </row>
    <row r="152" spans="1:28" x14ac:dyDescent="0.3">
      <c r="A152" t="s">
        <v>2829</v>
      </c>
      <c r="B152" t="s">
        <v>2022</v>
      </c>
      <c r="C152" t="s">
        <v>329</v>
      </c>
      <c r="D152" t="s">
        <v>44</v>
      </c>
      <c r="E152" s="1">
        <v>46055</v>
      </c>
      <c r="F152">
        <v>43</v>
      </c>
      <c r="G152">
        <v>1</v>
      </c>
      <c r="H152">
        <v>54</v>
      </c>
      <c r="I152">
        <v>1</v>
      </c>
      <c r="J152" t="s">
        <v>672</v>
      </c>
      <c r="K152" t="s">
        <v>1959</v>
      </c>
      <c r="L152" t="s">
        <v>2919</v>
      </c>
      <c r="M152" s="3" t="str">
        <f>HYPERLINK("https://ovidsp.ovid.com/ovidweb.cgi?T=JS&amp;NEWS=n&amp;CSC=Y&amp;PAGE=toc&amp;D=yrovft&amp;AN=00003677-000000000-00000","https://ovidsp.ovid.com/ovidweb.cgi?T=JS&amp;NEWS=n&amp;CSC=Y&amp;PAGE=toc&amp;D=yrovft&amp;AN=00003677-000000000-00000")</f>
        <v>https://ovidsp.ovid.com/ovidweb.cgi?T=JS&amp;NEWS=n&amp;CSC=Y&amp;PAGE=toc&amp;D=yrovft&amp;AN=00003677-000000000-00000</v>
      </c>
      <c r="N152" t="s">
        <v>171</v>
      </c>
      <c r="O152" t="s">
        <v>2151</v>
      </c>
      <c r="P152" t="s">
        <v>2431</v>
      </c>
      <c r="Q152">
        <v>1428052</v>
      </c>
      <c r="R152" t="s">
        <v>2157</v>
      </c>
      <c r="S152" t="s">
        <v>84</v>
      </c>
      <c r="T152" t="s">
        <v>2152</v>
      </c>
      <c r="U152" t="s">
        <v>2198</v>
      </c>
      <c r="V152" t="b">
        <v>1</v>
      </c>
      <c r="W152" t="s">
        <v>1775</v>
      </c>
      <c r="X152" t="b">
        <v>0</v>
      </c>
      <c r="Y152" t="s">
        <v>2022</v>
      </c>
      <c r="Z152" t="s">
        <v>831</v>
      </c>
      <c r="AA152" t="s">
        <v>192</v>
      </c>
      <c r="AB152" t="s">
        <v>192</v>
      </c>
    </row>
    <row r="153" spans="1:28" x14ac:dyDescent="0.3">
      <c r="A153" t="s">
        <v>2291</v>
      </c>
      <c r="B153" t="s">
        <v>2022</v>
      </c>
      <c r="C153" t="s">
        <v>1906</v>
      </c>
      <c r="D153" t="s">
        <v>44</v>
      </c>
      <c r="E153" s="1">
        <v>46055</v>
      </c>
      <c r="F153">
        <v>1</v>
      </c>
      <c r="G153">
        <v>1</v>
      </c>
      <c r="H153">
        <v>4</v>
      </c>
      <c r="I153">
        <v>1</v>
      </c>
      <c r="J153" t="s">
        <v>2215</v>
      </c>
      <c r="K153" t="s">
        <v>2602</v>
      </c>
      <c r="L153" t="s">
        <v>2919</v>
      </c>
      <c r="M153" s="3" t="str">
        <f>HYPERLINK("https://ovidsp.ovid.com/ovidweb.cgi?T=JS&amp;NEWS=n&amp;CSC=Y&amp;PAGE=toc&amp;D=yrovft&amp;AN=02273238-000000000-00000","https://ovidsp.ovid.com/ovidweb.cgi?T=JS&amp;NEWS=n&amp;CSC=Y&amp;PAGE=toc&amp;D=yrovft&amp;AN=02273238-000000000-00000")</f>
        <v>https://ovidsp.ovid.com/ovidweb.cgi?T=JS&amp;NEWS=n&amp;CSC=Y&amp;PAGE=toc&amp;D=yrovft&amp;AN=02273238-000000000-00000</v>
      </c>
      <c r="N153" t="s">
        <v>1586</v>
      </c>
      <c r="O153" t="s">
        <v>2151</v>
      </c>
      <c r="P153" t="s">
        <v>2431</v>
      </c>
      <c r="Q153">
        <v>1428052</v>
      </c>
      <c r="R153" t="s">
        <v>1614</v>
      </c>
      <c r="S153" t="s">
        <v>84</v>
      </c>
      <c r="T153" t="s">
        <v>2152</v>
      </c>
      <c r="U153" t="s">
        <v>1942</v>
      </c>
      <c r="V153" t="b">
        <v>0</v>
      </c>
      <c r="W153" t="s">
        <v>2022</v>
      </c>
      <c r="X153" t="b">
        <v>0</v>
      </c>
      <c r="Y153" t="s">
        <v>2022</v>
      </c>
      <c r="Z153" t="s">
        <v>831</v>
      </c>
      <c r="AA153" t="s">
        <v>192</v>
      </c>
      <c r="AB153" t="s">
        <v>192</v>
      </c>
    </row>
    <row r="154" spans="1:28" x14ac:dyDescent="0.3">
      <c r="A154" t="s">
        <v>1126</v>
      </c>
      <c r="B154" t="s">
        <v>2022</v>
      </c>
      <c r="C154" t="s">
        <v>708</v>
      </c>
      <c r="D154" t="s">
        <v>44</v>
      </c>
      <c r="E154" s="1">
        <v>46055</v>
      </c>
      <c r="F154">
        <v>41</v>
      </c>
      <c r="G154">
        <v>1</v>
      </c>
      <c r="H154">
        <v>52</v>
      </c>
      <c r="I154">
        <v>2</v>
      </c>
      <c r="J154" t="s">
        <v>2585</v>
      </c>
      <c r="K154" t="s">
        <v>1959</v>
      </c>
      <c r="L154" t="s">
        <v>712</v>
      </c>
      <c r="M154" s="3" t="str">
        <f>HYPERLINK("https://ovidsp.ovid.com/ovidweb.cgi?T=JS&amp;NEWS=n&amp;CSC=Y&amp;PAGE=toc&amp;D=yrovft&amp;AN=00140068-000000000-00000","https://ovidsp.ovid.com/ovidweb.cgi?T=JS&amp;NEWS=n&amp;CSC=Y&amp;PAGE=toc&amp;D=yrovft&amp;AN=00140068-000000000-00000")</f>
        <v>https://ovidsp.ovid.com/ovidweb.cgi?T=JS&amp;NEWS=n&amp;CSC=Y&amp;PAGE=toc&amp;D=yrovft&amp;AN=00140068-000000000-00000</v>
      </c>
      <c r="N154" t="s">
        <v>439</v>
      </c>
      <c r="O154" t="s">
        <v>2151</v>
      </c>
      <c r="P154" t="s">
        <v>2431</v>
      </c>
      <c r="Q154">
        <v>1428052</v>
      </c>
      <c r="R154" t="s">
        <v>2683</v>
      </c>
      <c r="S154" t="s">
        <v>84</v>
      </c>
      <c r="T154" t="s">
        <v>2152</v>
      </c>
      <c r="U154" t="s">
        <v>1517</v>
      </c>
      <c r="V154" t="b">
        <v>1</v>
      </c>
      <c r="W154" t="s">
        <v>2960</v>
      </c>
      <c r="X154" t="b">
        <v>0</v>
      </c>
      <c r="Y154" t="s">
        <v>2022</v>
      </c>
      <c r="Z154" t="s">
        <v>831</v>
      </c>
      <c r="AA154" t="s">
        <v>192</v>
      </c>
      <c r="AB154" t="s">
        <v>192</v>
      </c>
    </row>
    <row r="155" spans="1:28" x14ac:dyDescent="0.3">
      <c r="A155" t="s">
        <v>705</v>
      </c>
      <c r="B155" t="s">
        <v>2022</v>
      </c>
      <c r="C155" t="s">
        <v>1914</v>
      </c>
      <c r="D155" t="s">
        <v>44</v>
      </c>
      <c r="E155" s="1">
        <v>46055</v>
      </c>
      <c r="F155">
        <v>1</v>
      </c>
      <c r="G155">
        <v>1</v>
      </c>
      <c r="H155">
        <v>4</v>
      </c>
      <c r="I155">
        <v>4</v>
      </c>
      <c r="J155" t="s">
        <v>2996</v>
      </c>
      <c r="K155" t="s">
        <v>180</v>
      </c>
      <c r="L155" t="s">
        <v>2771</v>
      </c>
      <c r="M155" s="3" t="str">
        <f>HYPERLINK("https://ovidsp.ovid.com/ovidweb.cgi?T=JS&amp;NEWS=n&amp;CSC=Y&amp;PAGE=toc&amp;D=yrovft&amp;AN=02273827-000000000-00000","https://ovidsp.ovid.com/ovidweb.cgi?T=JS&amp;NEWS=n&amp;CSC=Y&amp;PAGE=toc&amp;D=yrovft&amp;AN=02273827-000000000-00000")</f>
        <v>https://ovidsp.ovid.com/ovidweb.cgi?T=JS&amp;NEWS=n&amp;CSC=Y&amp;PAGE=toc&amp;D=yrovft&amp;AN=02273827-000000000-00000</v>
      </c>
      <c r="N155" t="s">
        <v>2171</v>
      </c>
      <c r="O155" t="s">
        <v>2151</v>
      </c>
      <c r="P155" t="s">
        <v>2431</v>
      </c>
      <c r="Q155">
        <v>1428052</v>
      </c>
      <c r="R155" t="s">
        <v>1017</v>
      </c>
      <c r="S155" t="s">
        <v>84</v>
      </c>
      <c r="T155" t="s">
        <v>2152</v>
      </c>
      <c r="U155" t="s">
        <v>2453</v>
      </c>
      <c r="V155" t="b">
        <v>0</v>
      </c>
      <c r="W155" t="s">
        <v>2022</v>
      </c>
      <c r="X155" t="b">
        <v>0</v>
      </c>
      <c r="Y155" t="s">
        <v>2022</v>
      </c>
      <c r="Z155" t="s">
        <v>1351</v>
      </c>
      <c r="AA155" t="s">
        <v>192</v>
      </c>
      <c r="AB155" t="s">
        <v>192</v>
      </c>
    </row>
    <row r="156" spans="1:28" x14ac:dyDescent="0.3">
      <c r="A156" t="s">
        <v>2497</v>
      </c>
      <c r="B156" t="s">
        <v>62</v>
      </c>
      <c r="C156" t="s">
        <v>408</v>
      </c>
      <c r="D156" t="s">
        <v>44</v>
      </c>
      <c r="E156" s="1">
        <v>46055</v>
      </c>
      <c r="F156">
        <v>38</v>
      </c>
      <c r="G156">
        <v>1</v>
      </c>
      <c r="H156">
        <v>49</v>
      </c>
      <c r="I156">
        <v>1</v>
      </c>
      <c r="J156" t="s">
        <v>672</v>
      </c>
      <c r="K156" t="s">
        <v>1959</v>
      </c>
      <c r="L156" t="s">
        <v>2919</v>
      </c>
      <c r="M156" s="3" t="str">
        <f>HYPERLINK("https://ovidsp.ovid.com/ovidweb.cgi?T=JS&amp;NEWS=n&amp;CSC=Y&amp;PAGE=toc&amp;D=yrovft&amp;AN=00003727-000000000-00000","https://ovidsp.ovid.com/ovidweb.cgi?T=JS&amp;NEWS=n&amp;CSC=Y&amp;PAGE=toc&amp;D=yrovft&amp;AN=00003727-000000000-00000")</f>
        <v>https://ovidsp.ovid.com/ovidweb.cgi?T=JS&amp;NEWS=n&amp;CSC=Y&amp;PAGE=toc&amp;D=yrovft&amp;AN=00003727-000000000-00000</v>
      </c>
      <c r="N156" t="s">
        <v>2881</v>
      </c>
      <c r="O156" t="s">
        <v>2151</v>
      </c>
      <c r="P156" t="s">
        <v>2431</v>
      </c>
      <c r="Q156">
        <v>1428052</v>
      </c>
      <c r="R156" t="s">
        <v>1401</v>
      </c>
      <c r="S156" t="s">
        <v>84</v>
      </c>
      <c r="T156" t="s">
        <v>2152</v>
      </c>
      <c r="U156" t="s">
        <v>3063</v>
      </c>
      <c r="V156" t="b">
        <v>1</v>
      </c>
      <c r="W156" t="s">
        <v>1249</v>
      </c>
      <c r="X156" t="b">
        <v>0</v>
      </c>
      <c r="Y156" t="s">
        <v>2022</v>
      </c>
      <c r="Z156" t="s">
        <v>839</v>
      </c>
      <c r="AA156" t="s">
        <v>192</v>
      </c>
      <c r="AB156" t="s">
        <v>192</v>
      </c>
    </row>
    <row r="157" spans="1:28" x14ac:dyDescent="0.3">
      <c r="A157" t="s">
        <v>1075</v>
      </c>
      <c r="B157" t="s">
        <v>245</v>
      </c>
      <c r="C157" t="s">
        <v>2633</v>
      </c>
      <c r="D157" t="s">
        <v>44</v>
      </c>
      <c r="E157" s="1">
        <v>46055</v>
      </c>
      <c r="F157">
        <v>21</v>
      </c>
      <c r="G157">
        <v>1</v>
      </c>
      <c r="H157">
        <v>28</v>
      </c>
      <c r="I157">
        <v>7</v>
      </c>
      <c r="J157" t="s">
        <v>2611</v>
      </c>
      <c r="K157" t="s">
        <v>1959</v>
      </c>
      <c r="L157" t="s">
        <v>1647</v>
      </c>
      <c r="M157" s="3" t="str">
        <f>HYPERLINK("https://ovidsp.ovid.com/ovidweb.cgi?T=JS&amp;NEWS=n&amp;CSC=Y&amp;PAGE=toc&amp;D=yrovft&amp;AN=01436319-000000000-00000","https://ovidsp.ovid.com/ovidweb.cgi?T=JS&amp;NEWS=n&amp;CSC=Y&amp;PAGE=toc&amp;D=yrovft&amp;AN=01436319-000000000-00000")</f>
        <v>https://ovidsp.ovid.com/ovidweb.cgi?T=JS&amp;NEWS=n&amp;CSC=Y&amp;PAGE=toc&amp;D=yrovft&amp;AN=01436319-000000000-00000</v>
      </c>
      <c r="N157" t="s">
        <v>2605</v>
      </c>
      <c r="O157" t="s">
        <v>2151</v>
      </c>
      <c r="P157" t="s">
        <v>2431</v>
      </c>
      <c r="Q157">
        <v>1428052</v>
      </c>
      <c r="R157" t="s">
        <v>482</v>
      </c>
      <c r="S157" t="s">
        <v>84</v>
      </c>
      <c r="T157" t="s">
        <v>2152</v>
      </c>
      <c r="U157" t="s">
        <v>3064</v>
      </c>
      <c r="V157" t="b">
        <v>1</v>
      </c>
      <c r="W157" t="s">
        <v>738</v>
      </c>
      <c r="X157" t="b">
        <v>0</v>
      </c>
      <c r="Y157" t="s">
        <v>2022</v>
      </c>
      <c r="Z157" t="s">
        <v>2022</v>
      </c>
      <c r="AA157" t="s">
        <v>192</v>
      </c>
      <c r="AB157" t="s">
        <v>192</v>
      </c>
    </row>
    <row r="158" spans="1:28" x14ac:dyDescent="0.3">
      <c r="A158" t="s">
        <v>1081</v>
      </c>
      <c r="B158" t="s">
        <v>164</v>
      </c>
      <c r="C158" t="s">
        <v>1777</v>
      </c>
      <c r="D158" t="s">
        <v>44</v>
      </c>
      <c r="E158" s="1">
        <v>46055</v>
      </c>
      <c r="F158">
        <v>50</v>
      </c>
      <c r="G158">
        <v>1</v>
      </c>
      <c r="H158">
        <v>58</v>
      </c>
      <c r="I158">
        <v>6</v>
      </c>
      <c r="J158" t="s">
        <v>382</v>
      </c>
      <c r="K158" t="s">
        <v>606</v>
      </c>
      <c r="L158" t="s">
        <v>1124</v>
      </c>
      <c r="M158" s="3" t="str">
        <f>HYPERLINK("https://ovidsp.ovid.com/ovidweb.cgi?T=JS&amp;NEWS=n&amp;CSC=Y&amp;PAGE=toc&amp;D=yrovft&amp;AN=00139703-000000000-00000","https://ovidsp.ovid.com/ovidweb.cgi?T=JS&amp;NEWS=n&amp;CSC=Y&amp;PAGE=toc&amp;D=yrovft&amp;AN=00139703-000000000-00000")</f>
        <v>https://ovidsp.ovid.com/ovidweb.cgi?T=JS&amp;NEWS=n&amp;CSC=Y&amp;PAGE=toc&amp;D=yrovft&amp;AN=00139703-000000000-00000</v>
      </c>
      <c r="N158" t="s">
        <v>1580</v>
      </c>
      <c r="O158" t="s">
        <v>2151</v>
      </c>
      <c r="P158" t="s">
        <v>2431</v>
      </c>
      <c r="Q158">
        <v>1428052</v>
      </c>
      <c r="R158" t="s">
        <v>2814</v>
      </c>
      <c r="S158" t="s">
        <v>84</v>
      </c>
      <c r="T158" t="s">
        <v>2152</v>
      </c>
      <c r="U158" t="s">
        <v>1679</v>
      </c>
      <c r="V158" t="b">
        <v>1</v>
      </c>
      <c r="W158" t="s">
        <v>1224</v>
      </c>
      <c r="X158" t="b">
        <v>0</v>
      </c>
      <c r="Y158" t="s">
        <v>2022</v>
      </c>
      <c r="Z158" t="s">
        <v>1351</v>
      </c>
      <c r="AA158" t="s">
        <v>192</v>
      </c>
      <c r="AB158" t="s">
        <v>192</v>
      </c>
    </row>
    <row r="159" spans="1:28" x14ac:dyDescent="0.3">
      <c r="A159" t="s">
        <v>2057</v>
      </c>
      <c r="B159" t="s">
        <v>1007</v>
      </c>
      <c r="C159" t="s">
        <v>88</v>
      </c>
      <c r="D159" t="s">
        <v>44</v>
      </c>
      <c r="E159" s="1">
        <v>46055</v>
      </c>
      <c r="F159">
        <v>31</v>
      </c>
      <c r="G159">
        <v>3</v>
      </c>
      <c r="H159">
        <v>42</v>
      </c>
      <c r="I159">
        <v>2</v>
      </c>
      <c r="J159" t="s">
        <v>1482</v>
      </c>
      <c r="K159" t="s">
        <v>1398</v>
      </c>
      <c r="L159" t="s">
        <v>2771</v>
      </c>
      <c r="M159" s="3" t="str">
        <f>HYPERLINK("https://ovidsp.ovid.com/ovidweb.cgi?T=JS&amp;NEWS=n&amp;CSC=Y&amp;PAGE=toc&amp;D=yrovft&amp;AN=01974520-000000000-00000","https://ovidsp.ovid.com/ovidweb.cgi?T=JS&amp;NEWS=n&amp;CSC=Y&amp;PAGE=toc&amp;D=yrovft&amp;AN=01974520-000000000-00000")</f>
        <v>https://ovidsp.ovid.com/ovidweb.cgi?T=JS&amp;NEWS=n&amp;CSC=Y&amp;PAGE=toc&amp;D=yrovft&amp;AN=01974520-000000000-00000</v>
      </c>
      <c r="N159" t="s">
        <v>1508</v>
      </c>
      <c r="O159" t="s">
        <v>2151</v>
      </c>
      <c r="P159" t="s">
        <v>2431</v>
      </c>
      <c r="Q159">
        <v>1428052</v>
      </c>
      <c r="R159" t="s">
        <v>1786</v>
      </c>
      <c r="S159" t="s">
        <v>84</v>
      </c>
      <c r="T159" t="s">
        <v>2152</v>
      </c>
      <c r="U159" t="s">
        <v>358</v>
      </c>
      <c r="V159" t="b">
        <v>0</v>
      </c>
      <c r="W159" t="s">
        <v>2022</v>
      </c>
      <c r="X159" t="b">
        <v>0</v>
      </c>
      <c r="Y159" t="s">
        <v>2022</v>
      </c>
      <c r="Z159" t="s">
        <v>2757</v>
      </c>
      <c r="AA159" t="s">
        <v>192</v>
      </c>
      <c r="AB159" t="s">
        <v>192</v>
      </c>
    </row>
    <row r="160" spans="1:28" x14ac:dyDescent="0.3">
      <c r="A160" t="s">
        <v>1053</v>
      </c>
      <c r="B160" t="s">
        <v>1732</v>
      </c>
      <c r="C160" t="s">
        <v>2342</v>
      </c>
      <c r="D160" t="s">
        <v>44</v>
      </c>
      <c r="E160" s="1">
        <v>46055</v>
      </c>
      <c r="F160">
        <v>38</v>
      </c>
      <c r="G160">
        <v>1</v>
      </c>
      <c r="H160">
        <v>49</v>
      </c>
      <c r="I160">
        <v>1</v>
      </c>
      <c r="J160" t="s">
        <v>672</v>
      </c>
      <c r="K160" t="s">
        <v>1959</v>
      </c>
      <c r="L160" t="s">
        <v>2919</v>
      </c>
      <c r="M160" s="3" t="str">
        <f>HYPERLINK("https://ovidsp.ovid.com/ovidweb.cgi?T=JS&amp;NEWS=n&amp;CSC=Y&amp;PAGE=toc&amp;D=yrovft&amp;AN=00001610-000000000-00000","https://ovidsp.ovid.com/ovidweb.cgi?T=JS&amp;NEWS=n&amp;CSC=Y&amp;PAGE=toc&amp;D=yrovft&amp;AN=00001610-000000000-00000")</f>
        <v>https://ovidsp.ovid.com/ovidweb.cgi?T=JS&amp;NEWS=n&amp;CSC=Y&amp;PAGE=toc&amp;D=yrovft&amp;AN=00001610-000000000-00000</v>
      </c>
      <c r="N160" t="s">
        <v>1420</v>
      </c>
      <c r="O160" t="s">
        <v>2151</v>
      </c>
      <c r="P160" t="s">
        <v>2431</v>
      </c>
      <c r="Q160">
        <v>1428052</v>
      </c>
      <c r="R160" t="s">
        <v>209</v>
      </c>
      <c r="S160" t="s">
        <v>84</v>
      </c>
      <c r="T160" t="s">
        <v>2152</v>
      </c>
      <c r="U160" t="s">
        <v>2873</v>
      </c>
      <c r="V160" t="b">
        <v>1</v>
      </c>
      <c r="W160" t="s">
        <v>182</v>
      </c>
      <c r="X160" t="b">
        <v>0</v>
      </c>
      <c r="Y160" t="s">
        <v>2022</v>
      </c>
      <c r="Z160" t="s">
        <v>2944</v>
      </c>
      <c r="AA160" t="s">
        <v>192</v>
      </c>
      <c r="AB160" t="s">
        <v>192</v>
      </c>
    </row>
    <row r="161" spans="1:28" x14ac:dyDescent="0.3">
      <c r="A161" t="s">
        <v>1500</v>
      </c>
      <c r="B161" t="s">
        <v>2022</v>
      </c>
      <c r="C161" t="s">
        <v>3048</v>
      </c>
      <c r="D161" t="s">
        <v>44</v>
      </c>
      <c r="E161" s="1">
        <v>46055</v>
      </c>
      <c r="F161">
        <v>1</v>
      </c>
      <c r="G161" t="s">
        <v>77</v>
      </c>
      <c r="H161">
        <v>10</v>
      </c>
      <c r="I161">
        <v>4</v>
      </c>
      <c r="J161" t="s">
        <v>2414</v>
      </c>
      <c r="K161" t="s">
        <v>343</v>
      </c>
      <c r="L161" t="s">
        <v>2771</v>
      </c>
      <c r="M161" s="3" t="str">
        <f>HYPERLINK("https://ovidsp.ovid.com/ovidweb.cgi?T=JS&amp;NEWS=n&amp;CSC=Y&amp;PAGE=toc&amp;D=yrovft&amp;AN=01960907-000000000-00000","https://ovidsp.ovid.com/ovidweb.cgi?T=JS&amp;NEWS=n&amp;CSC=Y&amp;PAGE=toc&amp;D=yrovft&amp;AN=01960907-000000000-00000")</f>
        <v>https://ovidsp.ovid.com/ovidweb.cgi?T=JS&amp;NEWS=n&amp;CSC=Y&amp;PAGE=toc&amp;D=yrovft&amp;AN=01960907-000000000-00000</v>
      </c>
      <c r="N161" t="s">
        <v>1461</v>
      </c>
      <c r="O161" t="s">
        <v>2151</v>
      </c>
      <c r="P161" t="s">
        <v>2431</v>
      </c>
      <c r="Q161">
        <v>1428052</v>
      </c>
      <c r="R161" t="s">
        <v>2205</v>
      </c>
      <c r="S161" t="s">
        <v>84</v>
      </c>
      <c r="T161" t="s">
        <v>2152</v>
      </c>
      <c r="U161" t="s">
        <v>819</v>
      </c>
      <c r="V161" t="b">
        <v>0</v>
      </c>
      <c r="W161" t="s">
        <v>2022</v>
      </c>
      <c r="X161" t="b">
        <v>0</v>
      </c>
      <c r="Y161" t="s">
        <v>2022</v>
      </c>
      <c r="Z161" t="s">
        <v>2160</v>
      </c>
      <c r="AA161" t="s">
        <v>192</v>
      </c>
      <c r="AB161" t="s">
        <v>192</v>
      </c>
    </row>
    <row r="162" spans="1:28" x14ac:dyDescent="0.3">
      <c r="A162" t="s">
        <v>2982</v>
      </c>
      <c r="B162" t="s">
        <v>2022</v>
      </c>
      <c r="C162" t="s">
        <v>2368</v>
      </c>
      <c r="D162" t="s">
        <v>44</v>
      </c>
      <c r="E162" s="1">
        <v>46055</v>
      </c>
      <c r="F162">
        <v>1</v>
      </c>
      <c r="G162">
        <v>1</v>
      </c>
      <c r="H162">
        <v>3</v>
      </c>
      <c r="I162">
        <v>4</v>
      </c>
      <c r="J162" t="s">
        <v>1052</v>
      </c>
      <c r="K162" t="s">
        <v>146</v>
      </c>
      <c r="L162" t="s">
        <v>2771</v>
      </c>
      <c r="M162" s="3" t="str">
        <f>HYPERLINK("https://ovidsp.ovid.com/ovidweb.cgi?T=JS&amp;NEWS=n&amp;CSC=Y&amp;PAGE=toc&amp;D=yrovft&amp;AN=02274341-000000000-00000","https://ovidsp.ovid.com/ovidweb.cgi?T=JS&amp;NEWS=n&amp;CSC=Y&amp;PAGE=toc&amp;D=yrovft&amp;AN=02274341-000000000-00000")</f>
        <v>https://ovidsp.ovid.com/ovidweb.cgi?T=JS&amp;NEWS=n&amp;CSC=Y&amp;PAGE=toc&amp;D=yrovft&amp;AN=02274341-000000000-00000</v>
      </c>
      <c r="N162" t="s">
        <v>2868</v>
      </c>
      <c r="O162" t="s">
        <v>2151</v>
      </c>
      <c r="P162" t="s">
        <v>2431</v>
      </c>
      <c r="Q162">
        <v>1428052</v>
      </c>
      <c r="R162" t="s">
        <v>2442</v>
      </c>
      <c r="S162" t="s">
        <v>84</v>
      </c>
      <c r="T162" t="s">
        <v>2152</v>
      </c>
      <c r="U162" t="s">
        <v>2783</v>
      </c>
      <c r="V162" t="b">
        <v>1</v>
      </c>
      <c r="W162" t="s">
        <v>637</v>
      </c>
      <c r="X162" t="b">
        <v>0</v>
      </c>
      <c r="Y162" t="s">
        <v>2022</v>
      </c>
      <c r="Z162" t="s">
        <v>1154</v>
      </c>
      <c r="AA162" t="s">
        <v>192</v>
      </c>
      <c r="AB162" t="s">
        <v>192</v>
      </c>
    </row>
    <row r="163" spans="1:28" x14ac:dyDescent="0.3">
      <c r="A163" t="s">
        <v>2744</v>
      </c>
      <c r="B163" t="s">
        <v>2022</v>
      </c>
      <c r="C163" t="s">
        <v>2968</v>
      </c>
      <c r="D163" t="s">
        <v>44</v>
      </c>
      <c r="E163" s="1">
        <v>46055</v>
      </c>
      <c r="F163">
        <v>23</v>
      </c>
      <c r="G163">
        <v>1</v>
      </c>
      <c r="H163">
        <v>34</v>
      </c>
      <c r="I163">
        <v>1</v>
      </c>
      <c r="J163" t="s">
        <v>672</v>
      </c>
      <c r="K163" t="s">
        <v>1959</v>
      </c>
      <c r="L163" t="s">
        <v>2919</v>
      </c>
      <c r="M163" s="3" t="str">
        <f>HYPERLINK("https://ovidsp.ovid.com/ovidweb.cgi?T=JS&amp;NEWS=n&amp;CSC=Y&amp;PAGE=toc&amp;D=yrovft&amp;AN=00023727-000000000-00000","https://ovidsp.ovid.com/ovidweb.cgi?T=JS&amp;NEWS=n&amp;CSC=Y&amp;PAGE=toc&amp;D=yrovft&amp;AN=00023727-000000000-00000")</f>
        <v>https://ovidsp.ovid.com/ovidweb.cgi?T=JS&amp;NEWS=n&amp;CSC=Y&amp;PAGE=toc&amp;D=yrovft&amp;AN=00023727-000000000-00000</v>
      </c>
      <c r="N163" t="s">
        <v>230</v>
      </c>
      <c r="O163" t="s">
        <v>2151</v>
      </c>
      <c r="P163" t="s">
        <v>2431</v>
      </c>
      <c r="Q163">
        <v>1428052</v>
      </c>
      <c r="R163" t="s">
        <v>2866</v>
      </c>
      <c r="S163" t="s">
        <v>84</v>
      </c>
      <c r="T163" t="s">
        <v>2152</v>
      </c>
      <c r="U163" t="s">
        <v>348</v>
      </c>
      <c r="V163" t="b">
        <v>0</v>
      </c>
      <c r="W163" t="s">
        <v>2022</v>
      </c>
      <c r="X163" t="b">
        <v>0</v>
      </c>
      <c r="Y163" t="s">
        <v>2022</v>
      </c>
      <c r="Z163" t="s">
        <v>2775</v>
      </c>
      <c r="AA163" t="s">
        <v>192</v>
      </c>
      <c r="AB163" t="s">
        <v>192</v>
      </c>
    </row>
    <row r="164" spans="1:28" x14ac:dyDescent="0.3">
      <c r="A164" t="s">
        <v>2915</v>
      </c>
      <c r="B164" t="s">
        <v>1866</v>
      </c>
      <c r="C164" t="s">
        <v>955</v>
      </c>
      <c r="D164" t="s">
        <v>44</v>
      </c>
      <c r="E164" s="1">
        <v>46055</v>
      </c>
      <c r="F164">
        <v>18</v>
      </c>
      <c r="G164">
        <v>5</v>
      </c>
      <c r="H164">
        <v>23</v>
      </c>
      <c r="I164">
        <v>9</v>
      </c>
      <c r="J164" t="s">
        <v>214</v>
      </c>
      <c r="K164" t="s">
        <v>1853</v>
      </c>
      <c r="L164" t="s">
        <v>2146</v>
      </c>
      <c r="M164" s="3" t="str">
        <f>HYPERLINK("https://ovidsp.ovid.com/ovidweb.cgi?T=JS&amp;NEWS=n&amp;CSC=Y&amp;PAGE=toc&amp;D=yrovft&amp;AN=00062706-000000000-00000","https://ovidsp.ovid.com/ovidweb.cgi?T=JS&amp;NEWS=n&amp;CSC=Y&amp;PAGE=toc&amp;D=yrovft&amp;AN=00062706-000000000-00000")</f>
        <v>https://ovidsp.ovid.com/ovidweb.cgi?T=JS&amp;NEWS=n&amp;CSC=Y&amp;PAGE=toc&amp;D=yrovft&amp;AN=00062706-000000000-00000</v>
      </c>
      <c r="N164" t="s">
        <v>2022</v>
      </c>
      <c r="O164" t="s">
        <v>2151</v>
      </c>
      <c r="P164" t="s">
        <v>2431</v>
      </c>
      <c r="Q164">
        <v>1428052</v>
      </c>
      <c r="R164" t="s">
        <v>1357</v>
      </c>
      <c r="S164" t="s">
        <v>84</v>
      </c>
      <c r="T164" t="s">
        <v>2152</v>
      </c>
      <c r="U164" t="s">
        <v>1955</v>
      </c>
      <c r="V164" t="b">
        <v>0</v>
      </c>
      <c r="W164" t="s">
        <v>2022</v>
      </c>
      <c r="X164" t="b">
        <v>0</v>
      </c>
      <c r="Y164" t="s">
        <v>2022</v>
      </c>
      <c r="Z164" t="s">
        <v>2772</v>
      </c>
      <c r="AA164" t="s">
        <v>192</v>
      </c>
      <c r="AB164" t="s">
        <v>192</v>
      </c>
    </row>
    <row r="165" spans="1:28" x14ac:dyDescent="0.3">
      <c r="A165" t="s">
        <v>1654</v>
      </c>
      <c r="B165" t="s">
        <v>1966</v>
      </c>
      <c r="C165" t="s">
        <v>367</v>
      </c>
      <c r="D165" t="s">
        <v>44</v>
      </c>
      <c r="E165" s="1">
        <v>46055</v>
      </c>
      <c r="F165">
        <v>40</v>
      </c>
      <c r="G165">
        <v>1</v>
      </c>
      <c r="H165">
        <v>51</v>
      </c>
      <c r="I165">
        <v>1</v>
      </c>
      <c r="J165" t="s">
        <v>672</v>
      </c>
      <c r="K165" t="s">
        <v>1959</v>
      </c>
      <c r="L165" t="s">
        <v>2919</v>
      </c>
      <c r="M165" s="3" t="str">
        <f>HYPERLINK("https://ovidsp.ovid.com/ovidweb.cgi?T=JS&amp;NEWS=n&amp;CSC=Y&amp;PAGE=toc&amp;D=yrovft&amp;AN=00004010-000000000-00000","https://ovidsp.ovid.com/ovidweb.cgi?T=JS&amp;NEWS=n&amp;CSC=Y&amp;PAGE=toc&amp;D=yrovft&amp;AN=00004010-000000000-00000")</f>
        <v>https://ovidsp.ovid.com/ovidweb.cgi?T=JS&amp;NEWS=n&amp;CSC=Y&amp;PAGE=toc&amp;D=yrovft&amp;AN=00004010-000000000-00000</v>
      </c>
      <c r="N165" t="s">
        <v>2364</v>
      </c>
      <c r="O165" t="s">
        <v>2151</v>
      </c>
      <c r="P165" t="s">
        <v>2431</v>
      </c>
      <c r="Q165">
        <v>1428052</v>
      </c>
      <c r="R165" t="s">
        <v>1260</v>
      </c>
      <c r="S165" t="s">
        <v>84</v>
      </c>
      <c r="T165" t="s">
        <v>2152</v>
      </c>
      <c r="U165" t="s">
        <v>1960</v>
      </c>
      <c r="V165" t="b">
        <v>1</v>
      </c>
      <c r="W165" t="s">
        <v>1593</v>
      </c>
      <c r="X165" t="b">
        <v>0</v>
      </c>
      <c r="Y165" t="s">
        <v>2022</v>
      </c>
      <c r="Z165" t="s">
        <v>2070</v>
      </c>
      <c r="AA165" t="s">
        <v>192</v>
      </c>
      <c r="AB165" t="s">
        <v>192</v>
      </c>
    </row>
    <row r="166" spans="1:28" x14ac:dyDescent="0.3">
      <c r="A166" t="s">
        <v>2496</v>
      </c>
      <c r="B166" t="s">
        <v>3099</v>
      </c>
      <c r="C166" t="s">
        <v>804</v>
      </c>
      <c r="D166" t="s">
        <v>44</v>
      </c>
      <c r="E166" s="1">
        <v>46055</v>
      </c>
      <c r="F166">
        <v>108</v>
      </c>
      <c r="G166">
        <v>1</v>
      </c>
      <c r="H166">
        <v>130</v>
      </c>
      <c r="I166">
        <v>2</v>
      </c>
      <c r="J166" t="s">
        <v>2585</v>
      </c>
      <c r="K166" t="s">
        <v>1959</v>
      </c>
      <c r="L166" t="s">
        <v>712</v>
      </c>
      <c r="M166" s="3" t="str">
        <f>HYPERLINK("https://ovidsp.ovid.com/ovidweb.cgi?T=JS&amp;NEWS=n&amp;CSC=Y&amp;PAGE=toc&amp;D=yrovft&amp;AN=00004032-000000000-00000","https://ovidsp.ovid.com/ovidweb.cgi?T=JS&amp;NEWS=n&amp;CSC=Y&amp;PAGE=toc&amp;D=yrovft&amp;AN=00004032-000000000-00000")</f>
        <v>https://ovidsp.ovid.com/ovidweb.cgi?T=JS&amp;NEWS=n&amp;CSC=Y&amp;PAGE=toc&amp;D=yrovft&amp;AN=00004032-000000000-00000</v>
      </c>
      <c r="N166" t="s">
        <v>1704</v>
      </c>
      <c r="O166" t="s">
        <v>2151</v>
      </c>
      <c r="P166" t="s">
        <v>2431</v>
      </c>
      <c r="Q166">
        <v>1428052</v>
      </c>
      <c r="R166" t="s">
        <v>2375</v>
      </c>
      <c r="S166" t="s">
        <v>84</v>
      </c>
      <c r="T166" t="s">
        <v>2152</v>
      </c>
      <c r="U166" t="s">
        <v>652</v>
      </c>
      <c r="V166" t="b">
        <v>1</v>
      </c>
      <c r="W166" t="s">
        <v>373</v>
      </c>
      <c r="X166" t="b">
        <v>0</v>
      </c>
      <c r="Y166" t="s">
        <v>2022</v>
      </c>
      <c r="Z166" t="s">
        <v>839</v>
      </c>
      <c r="AA166" t="s">
        <v>192</v>
      </c>
      <c r="AB166" t="s">
        <v>192</v>
      </c>
    </row>
    <row r="167" spans="1:28" x14ac:dyDescent="0.3">
      <c r="A167" t="s">
        <v>1009</v>
      </c>
      <c r="B167" t="s">
        <v>651</v>
      </c>
      <c r="C167" t="s">
        <v>868</v>
      </c>
      <c r="D167" t="s">
        <v>44</v>
      </c>
      <c r="E167" s="1">
        <v>46055</v>
      </c>
      <c r="F167">
        <v>1</v>
      </c>
      <c r="G167">
        <v>1</v>
      </c>
      <c r="H167">
        <v>8</v>
      </c>
      <c r="I167">
        <v>4</v>
      </c>
      <c r="J167" t="s">
        <v>891</v>
      </c>
      <c r="K167" t="s">
        <v>2217</v>
      </c>
      <c r="L167" t="s">
        <v>1577</v>
      </c>
      <c r="M167" s="3" t="str">
        <f>HYPERLINK("https://ovidsp.ovid.com/ovidweb.cgi?T=JS&amp;NEWS=n&amp;CSC=Y&amp;PAGE=toc&amp;D=yrovft&amp;AN=01271221-000000000-00000","https://ovidsp.ovid.com/ovidweb.cgi?T=JS&amp;NEWS=n&amp;CSC=Y&amp;PAGE=toc&amp;D=yrovft&amp;AN=01271221-000000000-00000")</f>
        <v>https://ovidsp.ovid.com/ovidweb.cgi?T=JS&amp;NEWS=n&amp;CSC=Y&amp;PAGE=toc&amp;D=yrovft&amp;AN=01271221-000000000-00000</v>
      </c>
      <c r="N167" t="s">
        <v>2266</v>
      </c>
      <c r="O167" t="s">
        <v>2151</v>
      </c>
      <c r="P167" t="s">
        <v>2431</v>
      </c>
      <c r="Q167">
        <v>1428052</v>
      </c>
      <c r="R167" t="s">
        <v>650</v>
      </c>
      <c r="S167" t="s">
        <v>84</v>
      </c>
      <c r="T167" t="s">
        <v>2152</v>
      </c>
      <c r="U167" t="s">
        <v>2347</v>
      </c>
      <c r="V167" t="b">
        <v>0</v>
      </c>
      <c r="W167" t="s">
        <v>2022</v>
      </c>
      <c r="X167" t="b">
        <v>0</v>
      </c>
      <c r="Y167" t="s">
        <v>2022</v>
      </c>
      <c r="Z167" t="s">
        <v>1351</v>
      </c>
      <c r="AA167" t="s">
        <v>192</v>
      </c>
      <c r="AB167" t="s">
        <v>192</v>
      </c>
    </row>
    <row r="168" spans="1:28" x14ac:dyDescent="0.3">
      <c r="A168" t="s">
        <v>2018</v>
      </c>
      <c r="B168" t="s">
        <v>903</v>
      </c>
      <c r="C168" t="s">
        <v>1552</v>
      </c>
      <c r="D168" t="s">
        <v>44</v>
      </c>
      <c r="E168" s="1">
        <v>46055</v>
      </c>
      <c r="F168">
        <v>1</v>
      </c>
      <c r="G168">
        <v>1</v>
      </c>
      <c r="H168">
        <v>1</v>
      </c>
      <c r="I168">
        <v>2</v>
      </c>
      <c r="J168" t="s">
        <v>6</v>
      </c>
      <c r="K168" t="s">
        <v>870</v>
      </c>
      <c r="L168" t="s">
        <v>2771</v>
      </c>
      <c r="M168" s="3" t="str">
        <f>HYPERLINK("https://ovidsp.ovid.com/ovidweb.cgi?T=JS&amp;NEWS=n&amp;CSC=Y&amp;PAGE=toc&amp;D=yrovft&amp;AN=02276230-000000000-00000","https://ovidsp.ovid.com/ovidweb.cgi?T=JS&amp;NEWS=n&amp;CSC=Y&amp;PAGE=toc&amp;D=yrovft&amp;AN=02276230-000000000-00000")</f>
        <v>https://ovidsp.ovid.com/ovidweb.cgi?T=JS&amp;NEWS=n&amp;CSC=Y&amp;PAGE=toc&amp;D=yrovft&amp;AN=02276230-000000000-00000</v>
      </c>
      <c r="N168" t="s">
        <v>658</v>
      </c>
      <c r="O168" t="s">
        <v>2151</v>
      </c>
      <c r="P168" t="s">
        <v>2431</v>
      </c>
      <c r="Q168">
        <v>1428052</v>
      </c>
      <c r="R168" t="s">
        <v>1159</v>
      </c>
      <c r="S168" t="s">
        <v>84</v>
      </c>
      <c r="T168" t="s">
        <v>2152</v>
      </c>
      <c r="U168" t="s">
        <v>1501</v>
      </c>
      <c r="V168" t="b">
        <v>0</v>
      </c>
      <c r="W168" t="s">
        <v>2022</v>
      </c>
      <c r="X168" t="b">
        <v>0</v>
      </c>
      <c r="Y168" t="s">
        <v>2022</v>
      </c>
      <c r="Z168" t="s">
        <v>1351</v>
      </c>
      <c r="AA168" t="s">
        <v>192</v>
      </c>
      <c r="AB168" t="s">
        <v>192</v>
      </c>
    </row>
    <row r="169" spans="1:28" x14ac:dyDescent="0.3">
      <c r="A169" t="s">
        <v>1890</v>
      </c>
      <c r="B169" t="s">
        <v>1510</v>
      </c>
      <c r="C169" t="s">
        <v>1652</v>
      </c>
      <c r="D169" t="s">
        <v>44</v>
      </c>
      <c r="E169" s="1">
        <v>46055</v>
      </c>
      <c r="F169">
        <v>61</v>
      </c>
      <c r="G169">
        <v>1</v>
      </c>
      <c r="H169">
        <v>83</v>
      </c>
      <c r="I169">
        <v>2</v>
      </c>
      <c r="J169" t="s">
        <v>2585</v>
      </c>
      <c r="K169" t="s">
        <v>1959</v>
      </c>
      <c r="L169" t="s">
        <v>712</v>
      </c>
      <c r="M169" s="3" t="str">
        <f>HYPERLINK("https://ovidsp.ovid.com/ovidweb.cgi?T=JS&amp;NEWS=n&amp;CSC=Y&amp;PAGE=toc&amp;D=yrovft&amp;AN=01515467-000000000-00000","https://ovidsp.ovid.com/ovidweb.cgi?T=JS&amp;NEWS=n&amp;CSC=Y&amp;PAGE=toc&amp;D=yrovft&amp;AN=01515467-000000000-00000")</f>
        <v>https://ovidsp.ovid.com/ovidweb.cgi?T=JS&amp;NEWS=n&amp;CSC=Y&amp;PAGE=toc&amp;D=yrovft&amp;AN=01515467-000000000-00000</v>
      </c>
      <c r="N169" t="s">
        <v>1989</v>
      </c>
      <c r="O169" t="s">
        <v>2191</v>
      </c>
      <c r="P169" t="s">
        <v>3137</v>
      </c>
      <c r="Q169">
        <v>1428050</v>
      </c>
      <c r="R169" t="s">
        <v>2752</v>
      </c>
      <c r="S169" t="s">
        <v>84</v>
      </c>
      <c r="T169" t="s">
        <v>2152</v>
      </c>
      <c r="U169" t="s">
        <v>1817</v>
      </c>
      <c r="V169" t="b">
        <v>1</v>
      </c>
      <c r="W169" t="s">
        <v>2300</v>
      </c>
      <c r="X169" t="b">
        <v>0</v>
      </c>
      <c r="Y169" t="s">
        <v>2022</v>
      </c>
      <c r="Z169" t="s">
        <v>1351</v>
      </c>
      <c r="AA169" t="s">
        <v>2505</v>
      </c>
      <c r="AB169" t="s">
        <v>1351</v>
      </c>
    </row>
    <row r="170" spans="1:28" x14ac:dyDescent="0.3">
      <c r="A170" t="s">
        <v>2913</v>
      </c>
      <c r="B170" t="s">
        <v>2022</v>
      </c>
      <c r="C170" t="s">
        <v>2248</v>
      </c>
      <c r="D170" t="s">
        <v>44</v>
      </c>
      <c r="E170" s="1">
        <v>46055</v>
      </c>
      <c r="F170">
        <v>1</v>
      </c>
      <c r="G170">
        <v>1</v>
      </c>
      <c r="H170">
        <v>10</v>
      </c>
      <c r="I170">
        <v>2</v>
      </c>
      <c r="J170" t="s">
        <v>1100</v>
      </c>
      <c r="K170" t="s">
        <v>399</v>
      </c>
      <c r="L170" t="s">
        <v>712</v>
      </c>
      <c r="M170" s="3" t="str">
        <f>HYPERLINK("https://ovidsp.ovid.com/ovidweb.cgi?T=JS&amp;NEWS=n&amp;CSC=Y&amp;PAGE=toc&amp;D=yrovft&amp;AN=02009842-000000000-00000","https://ovidsp.ovid.com/ovidweb.cgi?T=JS&amp;NEWS=n&amp;CSC=Y&amp;PAGE=toc&amp;D=yrovft&amp;AN=02009842-000000000-00000")</f>
        <v>https://ovidsp.ovid.com/ovidweb.cgi?T=JS&amp;NEWS=n&amp;CSC=Y&amp;PAGE=toc&amp;D=yrovft&amp;AN=02009842-000000000-00000</v>
      </c>
      <c r="N170" t="s">
        <v>2354</v>
      </c>
      <c r="O170" t="s">
        <v>2191</v>
      </c>
      <c r="P170" t="s">
        <v>3137</v>
      </c>
      <c r="Q170">
        <v>1428050</v>
      </c>
      <c r="R170" t="s">
        <v>1031</v>
      </c>
      <c r="S170" t="s">
        <v>84</v>
      </c>
      <c r="T170" t="s">
        <v>2152</v>
      </c>
      <c r="U170" t="s">
        <v>2970</v>
      </c>
      <c r="V170" t="b">
        <v>0</v>
      </c>
      <c r="W170" t="s">
        <v>2022</v>
      </c>
      <c r="X170" t="b">
        <v>0</v>
      </c>
      <c r="Y170" t="s">
        <v>2022</v>
      </c>
      <c r="Z170" t="s">
        <v>1351</v>
      </c>
      <c r="AA170" t="s">
        <v>2505</v>
      </c>
      <c r="AB170" t="s">
        <v>1351</v>
      </c>
    </row>
    <row r="171" spans="1:28" x14ac:dyDescent="0.3">
      <c r="A171" t="s">
        <v>2913</v>
      </c>
      <c r="B171" t="s">
        <v>2022</v>
      </c>
      <c r="C171" t="s">
        <v>2248</v>
      </c>
      <c r="D171" t="s">
        <v>44</v>
      </c>
      <c r="E171" s="1">
        <v>46055</v>
      </c>
      <c r="F171">
        <v>1</v>
      </c>
      <c r="G171">
        <v>1</v>
      </c>
      <c r="H171">
        <v>10</v>
      </c>
      <c r="I171">
        <v>2</v>
      </c>
      <c r="J171" t="s">
        <v>1100</v>
      </c>
      <c r="K171" t="s">
        <v>399</v>
      </c>
      <c r="L171" t="s">
        <v>712</v>
      </c>
      <c r="M171" s="3" t="str">
        <f>HYPERLINK("https://ovidsp.ovid.com/ovidweb.cgi?T=JS&amp;NEWS=n&amp;CSC=Y&amp;PAGE=toc&amp;D=yrovft&amp;AN=02009842-000000000-00000","https://ovidsp.ovid.com/ovidweb.cgi?T=JS&amp;NEWS=n&amp;CSC=Y&amp;PAGE=toc&amp;D=yrovft&amp;AN=02009842-000000000-00000")</f>
        <v>https://ovidsp.ovid.com/ovidweb.cgi?T=JS&amp;NEWS=n&amp;CSC=Y&amp;PAGE=toc&amp;D=yrovft&amp;AN=02009842-000000000-00000</v>
      </c>
      <c r="N171" t="s">
        <v>2354</v>
      </c>
      <c r="O171" t="s">
        <v>2151</v>
      </c>
      <c r="P171" t="s">
        <v>2431</v>
      </c>
      <c r="Q171">
        <v>1428052</v>
      </c>
      <c r="R171" t="s">
        <v>1031</v>
      </c>
      <c r="S171" t="s">
        <v>84</v>
      </c>
      <c r="T171" t="s">
        <v>2152</v>
      </c>
      <c r="U171" t="s">
        <v>2970</v>
      </c>
      <c r="V171" t="b">
        <v>0</v>
      </c>
      <c r="W171" t="s">
        <v>2022</v>
      </c>
      <c r="X171" t="b">
        <v>0</v>
      </c>
      <c r="Y171" t="s">
        <v>2022</v>
      </c>
      <c r="Z171" t="s">
        <v>1351</v>
      </c>
      <c r="AA171" t="s">
        <v>192</v>
      </c>
      <c r="AB171" t="s">
        <v>192</v>
      </c>
    </row>
    <row r="172" spans="1:28" x14ac:dyDescent="0.3">
      <c r="A172" t="s">
        <v>3045</v>
      </c>
      <c r="B172" t="s">
        <v>939</v>
      </c>
      <c r="C172" t="s">
        <v>257</v>
      </c>
      <c r="D172" t="s">
        <v>44</v>
      </c>
      <c r="E172" s="1">
        <v>46055</v>
      </c>
      <c r="F172">
        <v>29</v>
      </c>
      <c r="G172">
        <v>1</v>
      </c>
      <c r="H172">
        <v>40</v>
      </c>
      <c r="I172">
        <v>1</v>
      </c>
      <c r="J172" t="s">
        <v>672</v>
      </c>
      <c r="K172" t="s">
        <v>1959</v>
      </c>
      <c r="L172" t="s">
        <v>2919</v>
      </c>
      <c r="M172" s="3" t="str">
        <f>HYPERLINK("https://ovidsp.ovid.com/ovidweb.cgi?T=JS&amp;NEWS=n&amp;CSC=Y&amp;PAGE=toc&amp;D=yrovft&amp;AN=00004650-000000000-00000","https://ovidsp.ovid.com/ovidweb.cgi?T=JS&amp;NEWS=n&amp;CSC=Y&amp;PAGE=toc&amp;D=yrovft&amp;AN=00004650-000000000-00000")</f>
        <v>https://ovidsp.ovid.com/ovidweb.cgi?T=JS&amp;NEWS=n&amp;CSC=Y&amp;PAGE=toc&amp;D=yrovft&amp;AN=00004650-000000000-00000</v>
      </c>
      <c r="N172" t="s">
        <v>966</v>
      </c>
      <c r="O172" t="s">
        <v>2151</v>
      </c>
      <c r="P172" t="s">
        <v>2431</v>
      </c>
      <c r="Q172">
        <v>1428052</v>
      </c>
      <c r="R172" t="s">
        <v>2743</v>
      </c>
      <c r="S172" t="s">
        <v>84</v>
      </c>
      <c r="T172" t="s">
        <v>2152</v>
      </c>
      <c r="U172" t="s">
        <v>115</v>
      </c>
      <c r="V172" t="b">
        <v>1</v>
      </c>
      <c r="W172" t="s">
        <v>219</v>
      </c>
      <c r="X172" t="b">
        <v>0</v>
      </c>
      <c r="Y172" t="s">
        <v>2022</v>
      </c>
      <c r="Z172" t="s">
        <v>478</v>
      </c>
      <c r="AA172" t="s">
        <v>192</v>
      </c>
      <c r="AB172" t="s">
        <v>192</v>
      </c>
    </row>
    <row r="173" spans="1:28" x14ac:dyDescent="0.3">
      <c r="A173" t="s">
        <v>428</v>
      </c>
      <c r="B173" t="s">
        <v>2821</v>
      </c>
      <c r="C173" t="s">
        <v>2684</v>
      </c>
      <c r="D173" t="s">
        <v>44</v>
      </c>
      <c r="E173" s="1">
        <v>46055</v>
      </c>
      <c r="F173">
        <v>33</v>
      </c>
      <c r="G173">
        <v>1</v>
      </c>
      <c r="H173">
        <v>44</v>
      </c>
      <c r="I173">
        <v>1</v>
      </c>
      <c r="J173" t="s">
        <v>672</v>
      </c>
      <c r="K173" t="s">
        <v>1959</v>
      </c>
      <c r="L173" t="s">
        <v>2919</v>
      </c>
      <c r="M173" s="3" t="str">
        <f>HYPERLINK("https://ovidsp.ovid.com/ovidweb.cgi?T=JS&amp;NEWS=n&amp;CSC=Y&amp;PAGE=toc&amp;D=yrovft&amp;AN=01845097-000000000-00000","https://ovidsp.ovid.com/ovidweb.cgi?T=JS&amp;NEWS=n&amp;CSC=Y&amp;PAGE=toc&amp;D=yrovft&amp;AN=01845097-000000000-00000")</f>
        <v>https://ovidsp.ovid.com/ovidweb.cgi?T=JS&amp;NEWS=n&amp;CSC=Y&amp;PAGE=toc&amp;D=yrovft&amp;AN=01845097-000000000-00000</v>
      </c>
      <c r="N173" t="s">
        <v>1207</v>
      </c>
      <c r="O173" t="s">
        <v>2151</v>
      </c>
      <c r="P173" t="s">
        <v>2431</v>
      </c>
      <c r="Q173">
        <v>1428052</v>
      </c>
      <c r="R173" t="s">
        <v>2061</v>
      </c>
      <c r="S173" t="s">
        <v>84</v>
      </c>
      <c r="T173" t="s">
        <v>2152</v>
      </c>
      <c r="U173" t="s">
        <v>1798</v>
      </c>
      <c r="V173" t="b">
        <v>0</v>
      </c>
      <c r="W173" t="s">
        <v>2022</v>
      </c>
      <c r="X173" t="b">
        <v>0</v>
      </c>
      <c r="Y173" t="s">
        <v>2022</v>
      </c>
      <c r="Z173" t="s">
        <v>2944</v>
      </c>
      <c r="AA173" t="s">
        <v>192</v>
      </c>
      <c r="AB173" t="s">
        <v>192</v>
      </c>
    </row>
    <row r="174" spans="1:28" x14ac:dyDescent="0.3">
      <c r="A174" t="s">
        <v>1087</v>
      </c>
      <c r="B174" t="s">
        <v>1922</v>
      </c>
      <c r="C174" t="s">
        <v>2022</v>
      </c>
      <c r="D174" t="s">
        <v>44</v>
      </c>
      <c r="E174" s="1">
        <v>46055</v>
      </c>
      <c r="F174">
        <v>2</v>
      </c>
      <c r="G174">
        <v>1</v>
      </c>
      <c r="H174">
        <v>9</v>
      </c>
      <c r="I174">
        <v>5</v>
      </c>
      <c r="J174" t="s">
        <v>3089</v>
      </c>
      <c r="K174" t="s">
        <v>1937</v>
      </c>
      <c r="L174" t="s">
        <v>1310</v>
      </c>
      <c r="M174" s="3" t="str">
        <f>HYPERLINK("https://ovidsp.ovid.com/ovidweb.cgi?T=JS&amp;NEWS=n&amp;CSC=Y&amp;PAGE=toc&amp;D=yrovft&amp;AN=00004168-000000000-00000","https://ovidsp.ovid.com/ovidweb.cgi?T=JS&amp;NEWS=n&amp;CSC=Y&amp;PAGE=toc&amp;D=yrovft&amp;AN=00004168-000000000-00000")</f>
        <v>https://ovidsp.ovid.com/ovidweb.cgi?T=JS&amp;NEWS=n&amp;CSC=Y&amp;PAGE=toc&amp;D=yrovft&amp;AN=00004168-000000000-00000</v>
      </c>
      <c r="N174" t="s">
        <v>2022</v>
      </c>
      <c r="O174" t="s">
        <v>2151</v>
      </c>
      <c r="P174" t="s">
        <v>2431</v>
      </c>
      <c r="Q174">
        <v>1428052</v>
      </c>
      <c r="R174" t="s">
        <v>2990</v>
      </c>
      <c r="S174" t="s">
        <v>84</v>
      </c>
      <c r="T174" t="s">
        <v>2152</v>
      </c>
      <c r="U174" t="s">
        <v>2033</v>
      </c>
      <c r="V174" t="b">
        <v>0</v>
      </c>
      <c r="W174" t="s">
        <v>2022</v>
      </c>
      <c r="X174" t="b">
        <v>0</v>
      </c>
      <c r="Y174" t="s">
        <v>2022</v>
      </c>
      <c r="Z174" t="s">
        <v>2772</v>
      </c>
      <c r="AA174" t="s">
        <v>192</v>
      </c>
      <c r="AB174" t="s">
        <v>192</v>
      </c>
    </row>
    <row r="175" spans="1:28" x14ac:dyDescent="0.3">
      <c r="A175" t="s">
        <v>1227</v>
      </c>
      <c r="B175" t="s">
        <v>1417</v>
      </c>
      <c r="C175" t="s">
        <v>1278</v>
      </c>
      <c r="D175" t="s">
        <v>44</v>
      </c>
      <c r="E175" s="1">
        <v>46055</v>
      </c>
      <c r="F175">
        <v>65</v>
      </c>
      <c r="G175">
        <v>1</v>
      </c>
      <c r="H175">
        <v>83</v>
      </c>
      <c r="I175">
        <v>2</v>
      </c>
      <c r="J175" t="s">
        <v>2585</v>
      </c>
      <c r="K175" t="s">
        <v>1959</v>
      </c>
      <c r="L175" t="s">
        <v>712</v>
      </c>
      <c r="M175" s="3" t="str">
        <f>HYPERLINK("https://ovidsp.ovid.com/ovidweb.cgi?T=JS&amp;NEWS=n&amp;CSC=Y&amp;PAGE=toc&amp;D=yrovft&amp;AN=00004268-000000000-00000","https://ovidsp.ovid.com/ovidweb.cgi?T=JS&amp;NEWS=n&amp;CSC=Y&amp;PAGE=toc&amp;D=yrovft&amp;AN=00004268-000000000-00000")</f>
        <v>https://ovidsp.ovid.com/ovidweb.cgi?T=JS&amp;NEWS=n&amp;CSC=Y&amp;PAGE=toc&amp;D=yrovft&amp;AN=00004268-000000000-00000</v>
      </c>
      <c r="N175" t="s">
        <v>91</v>
      </c>
      <c r="O175" t="s">
        <v>2151</v>
      </c>
      <c r="P175" t="s">
        <v>2431</v>
      </c>
      <c r="Q175">
        <v>1428052</v>
      </c>
      <c r="R175" t="s">
        <v>1896</v>
      </c>
      <c r="S175" t="s">
        <v>84</v>
      </c>
      <c r="T175" t="s">
        <v>2152</v>
      </c>
      <c r="U175" t="s">
        <v>2706</v>
      </c>
      <c r="V175" t="b">
        <v>1</v>
      </c>
      <c r="W175" t="s">
        <v>2893</v>
      </c>
      <c r="X175" t="b">
        <v>0</v>
      </c>
      <c r="Y175" t="s">
        <v>2022</v>
      </c>
      <c r="Z175" t="s">
        <v>1351</v>
      </c>
      <c r="AA175" t="s">
        <v>192</v>
      </c>
      <c r="AB175" t="s">
        <v>192</v>
      </c>
    </row>
    <row r="176" spans="1:28" x14ac:dyDescent="0.3">
      <c r="A176" t="s">
        <v>1755</v>
      </c>
      <c r="B176" t="s">
        <v>2022</v>
      </c>
      <c r="C176" t="s">
        <v>1480</v>
      </c>
      <c r="D176" t="s">
        <v>44</v>
      </c>
      <c r="E176" s="1">
        <v>46055</v>
      </c>
      <c r="F176">
        <v>24</v>
      </c>
      <c r="G176">
        <v>1</v>
      </c>
      <c r="H176">
        <v>45</v>
      </c>
      <c r="I176">
        <v>6</v>
      </c>
      <c r="J176" t="s">
        <v>1469</v>
      </c>
      <c r="K176" t="s">
        <v>975</v>
      </c>
      <c r="L176" t="s">
        <v>2771</v>
      </c>
      <c r="M176" s="3" t="str">
        <f>HYPERLINK("https://ovidsp.ovid.com/ovidweb.cgi?T=JS&amp;NEWS=n&amp;CSC=Y&amp;PAGE=toc&amp;D=yrovft&amp;AN=01276162-000000000-00000","https://ovidsp.ovid.com/ovidweb.cgi?T=JS&amp;NEWS=n&amp;CSC=Y&amp;PAGE=toc&amp;D=yrovft&amp;AN=01276162-000000000-00000")</f>
        <v>https://ovidsp.ovid.com/ovidweb.cgi?T=JS&amp;NEWS=n&amp;CSC=Y&amp;PAGE=toc&amp;D=yrovft&amp;AN=01276162-000000000-00000</v>
      </c>
      <c r="N176" t="s">
        <v>1630</v>
      </c>
      <c r="O176" t="s">
        <v>2151</v>
      </c>
      <c r="P176" t="s">
        <v>2431</v>
      </c>
      <c r="Q176">
        <v>1428052</v>
      </c>
      <c r="R176" t="s">
        <v>1307</v>
      </c>
      <c r="S176" t="s">
        <v>84</v>
      </c>
      <c r="T176" t="s">
        <v>2152</v>
      </c>
      <c r="U176" t="s">
        <v>474</v>
      </c>
      <c r="V176" t="b">
        <v>0</v>
      </c>
      <c r="W176" t="s">
        <v>2022</v>
      </c>
      <c r="X176" t="b">
        <v>0</v>
      </c>
      <c r="Y176" t="s">
        <v>2022</v>
      </c>
      <c r="Z176" t="s">
        <v>2773</v>
      </c>
      <c r="AA176" t="s">
        <v>192</v>
      </c>
      <c r="AB176" t="s">
        <v>192</v>
      </c>
    </row>
    <row r="177" spans="1:28" x14ac:dyDescent="0.3">
      <c r="A177" t="s">
        <v>2389</v>
      </c>
      <c r="B177" t="s">
        <v>2022</v>
      </c>
      <c r="C177" t="s">
        <v>1848</v>
      </c>
      <c r="D177" t="s">
        <v>44</v>
      </c>
      <c r="E177" s="1">
        <v>46055</v>
      </c>
      <c r="F177">
        <v>1</v>
      </c>
      <c r="G177">
        <v>1</v>
      </c>
      <c r="H177">
        <v>8</v>
      </c>
      <c r="I177">
        <v>1</v>
      </c>
      <c r="J177" t="s">
        <v>2603</v>
      </c>
      <c r="K177" t="s">
        <v>990</v>
      </c>
      <c r="L177" t="s">
        <v>2919</v>
      </c>
      <c r="M177" s="3" t="str">
        <f>HYPERLINK("https://ovidsp.ovid.com/ovidweb.cgi?T=JS&amp;NEWS=n&amp;CSC=Y&amp;PAGE=toc&amp;D=yrovft&amp;AN=02154767-000000000-00000","https://ovidsp.ovid.com/ovidweb.cgi?T=JS&amp;NEWS=n&amp;CSC=Y&amp;PAGE=toc&amp;D=yrovft&amp;AN=02154767-000000000-00000")</f>
        <v>https://ovidsp.ovid.com/ovidweb.cgi?T=JS&amp;NEWS=n&amp;CSC=Y&amp;PAGE=toc&amp;D=yrovft&amp;AN=02154767-000000000-00000</v>
      </c>
      <c r="N177" t="s">
        <v>2416</v>
      </c>
      <c r="O177" t="s">
        <v>2151</v>
      </c>
      <c r="P177" t="s">
        <v>2431</v>
      </c>
      <c r="Q177">
        <v>1428052</v>
      </c>
      <c r="R177" t="s">
        <v>538</v>
      </c>
      <c r="S177" t="s">
        <v>84</v>
      </c>
      <c r="T177" t="s">
        <v>2152</v>
      </c>
      <c r="U177" t="s">
        <v>530</v>
      </c>
      <c r="V177" t="b">
        <v>0</v>
      </c>
      <c r="W177" t="s">
        <v>2022</v>
      </c>
      <c r="X177" t="b">
        <v>0</v>
      </c>
      <c r="Y177" t="s">
        <v>2022</v>
      </c>
      <c r="Z177" t="s">
        <v>1351</v>
      </c>
      <c r="AA177" t="s">
        <v>192</v>
      </c>
      <c r="AB177" t="s">
        <v>192</v>
      </c>
    </row>
    <row r="178" spans="1:28" x14ac:dyDescent="0.3">
      <c r="A178" t="s">
        <v>1750</v>
      </c>
      <c r="B178" t="s">
        <v>3154</v>
      </c>
      <c r="C178" t="s">
        <v>464</v>
      </c>
      <c r="D178" t="s">
        <v>44</v>
      </c>
      <c r="E178" s="1">
        <v>46055</v>
      </c>
      <c r="F178">
        <v>10</v>
      </c>
      <c r="G178">
        <v>1</v>
      </c>
      <c r="H178">
        <v>28</v>
      </c>
      <c r="I178">
        <v>6</v>
      </c>
      <c r="J178" t="s">
        <v>605</v>
      </c>
      <c r="K178" t="s">
        <v>698</v>
      </c>
      <c r="L178" t="s">
        <v>360</v>
      </c>
      <c r="M178" s="3" t="str">
        <f>HYPERLINK("https://ovidsp.ovid.com/ovidweb.cgi?T=JS&amp;NEWS=n&amp;CSC=Y&amp;PAGE=toc&amp;D=yrovft&amp;AN=00008505-000000000-00000","https://ovidsp.ovid.com/ovidweb.cgi?T=JS&amp;NEWS=n&amp;CSC=Y&amp;PAGE=toc&amp;D=yrovft&amp;AN=00008505-000000000-00000")</f>
        <v>https://ovidsp.ovid.com/ovidweb.cgi?T=JS&amp;NEWS=n&amp;CSC=Y&amp;PAGE=toc&amp;D=yrovft&amp;AN=00008505-000000000-00000</v>
      </c>
      <c r="N178" t="s">
        <v>1920</v>
      </c>
      <c r="O178" t="s">
        <v>2151</v>
      </c>
      <c r="P178" t="s">
        <v>2431</v>
      </c>
      <c r="Q178">
        <v>1428052</v>
      </c>
      <c r="R178" t="s">
        <v>2319</v>
      </c>
      <c r="S178" t="s">
        <v>84</v>
      </c>
      <c r="T178" t="s">
        <v>2152</v>
      </c>
      <c r="U178" t="s">
        <v>1098</v>
      </c>
      <c r="V178" t="b">
        <v>0</v>
      </c>
      <c r="W178" t="s">
        <v>2022</v>
      </c>
      <c r="X178" t="b">
        <v>0</v>
      </c>
      <c r="Y178" t="s">
        <v>2022</v>
      </c>
      <c r="Z178" t="s">
        <v>1191</v>
      </c>
      <c r="AA178" t="s">
        <v>192</v>
      </c>
      <c r="AB178" t="s">
        <v>192</v>
      </c>
    </row>
    <row r="179" spans="1:28" x14ac:dyDescent="0.3">
      <c r="A179" t="s">
        <v>2091</v>
      </c>
      <c r="B179" t="s">
        <v>1957</v>
      </c>
      <c r="C179" t="s">
        <v>1299</v>
      </c>
      <c r="D179" t="s">
        <v>44</v>
      </c>
      <c r="E179" s="1">
        <v>46055</v>
      </c>
      <c r="F179">
        <v>28</v>
      </c>
      <c r="G179">
        <v>1</v>
      </c>
      <c r="H179">
        <v>39</v>
      </c>
      <c r="I179">
        <v>1</v>
      </c>
      <c r="J179" t="s">
        <v>672</v>
      </c>
      <c r="K179" t="s">
        <v>1959</v>
      </c>
      <c r="L179" t="s">
        <v>2919</v>
      </c>
      <c r="M179" s="3" t="str">
        <f>HYPERLINK("https://ovidsp.ovid.com/ovidweb.cgi?T=JS&amp;NEWS=n&amp;CSC=Y&amp;PAGE=toc&amp;D=yrovft&amp;AN=00001163-000000000-00000","https://ovidsp.ovid.com/ovidweb.cgi?T=JS&amp;NEWS=n&amp;CSC=Y&amp;PAGE=toc&amp;D=yrovft&amp;AN=00001163-000000000-00000")</f>
        <v>https://ovidsp.ovid.com/ovidweb.cgi?T=JS&amp;NEWS=n&amp;CSC=Y&amp;PAGE=toc&amp;D=yrovft&amp;AN=00001163-000000000-00000</v>
      </c>
      <c r="N179" t="s">
        <v>618</v>
      </c>
      <c r="O179" t="s">
        <v>2151</v>
      </c>
      <c r="P179" t="s">
        <v>2431</v>
      </c>
      <c r="Q179">
        <v>1428052</v>
      </c>
      <c r="R179" t="s">
        <v>610</v>
      </c>
      <c r="S179" t="s">
        <v>84</v>
      </c>
      <c r="T179" t="s">
        <v>2152</v>
      </c>
      <c r="U179" t="s">
        <v>1615</v>
      </c>
      <c r="V179" t="b">
        <v>1</v>
      </c>
      <c r="W179" t="s">
        <v>1736</v>
      </c>
      <c r="X179" t="b">
        <v>0</v>
      </c>
      <c r="Y179" t="s">
        <v>2022</v>
      </c>
      <c r="Z179" t="s">
        <v>2944</v>
      </c>
      <c r="AA179" t="s">
        <v>192</v>
      </c>
      <c r="AB179" t="s">
        <v>192</v>
      </c>
    </row>
    <row r="180" spans="1:28" x14ac:dyDescent="0.3">
      <c r="A180" t="s">
        <v>2203</v>
      </c>
      <c r="B180" t="s">
        <v>2010</v>
      </c>
      <c r="C180" t="s">
        <v>3001</v>
      </c>
      <c r="D180" t="s">
        <v>44</v>
      </c>
      <c r="E180" s="1">
        <v>46055</v>
      </c>
      <c r="F180">
        <v>1</v>
      </c>
      <c r="G180">
        <v>1</v>
      </c>
      <c r="H180">
        <v>6</v>
      </c>
      <c r="I180">
        <v>1</v>
      </c>
      <c r="J180" t="s">
        <v>32</v>
      </c>
      <c r="K180" t="s">
        <v>1706</v>
      </c>
      <c r="L180" t="s">
        <v>2919</v>
      </c>
      <c r="M180" s="3" t="str">
        <f>HYPERLINK("https://ovidsp.ovid.com/ovidweb.cgi?T=JS&amp;NEWS=n&amp;CSC=Y&amp;PAGE=toc&amp;D=yrovft&amp;AN=02211172-000000000-00000","https://ovidsp.ovid.com/ovidweb.cgi?T=JS&amp;NEWS=n&amp;CSC=Y&amp;PAGE=toc&amp;D=yrovft&amp;AN=02211172-000000000-00000")</f>
        <v>https://ovidsp.ovid.com/ovidweb.cgi?T=JS&amp;NEWS=n&amp;CSC=Y&amp;PAGE=toc&amp;D=yrovft&amp;AN=02211172-000000000-00000</v>
      </c>
      <c r="N180" t="s">
        <v>1744</v>
      </c>
      <c r="O180" t="s">
        <v>2151</v>
      </c>
      <c r="P180" t="s">
        <v>2431</v>
      </c>
      <c r="Q180">
        <v>1428052</v>
      </c>
      <c r="R180" t="s">
        <v>2182</v>
      </c>
      <c r="S180" t="s">
        <v>84</v>
      </c>
      <c r="T180" t="s">
        <v>2152</v>
      </c>
      <c r="U180" t="s">
        <v>2815</v>
      </c>
      <c r="V180" t="b">
        <v>1</v>
      </c>
      <c r="W180" t="s">
        <v>1788</v>
      </c>
      <c r="X180" t="b">
        <v>0</v>
      </c>
      <c r="Y180" t="s">
        <v>2022</v>
      </c>
      <c r="Z180" t="s">
        <v>2022</v>
      </c>
      <c r="AA180" t="s">
        <v>192</v>
      </c>
      <c r="AB180" t="s">
        <v>192</v>
      </c>
    </row>
    <row r="181" spans="1:28" x14ac:dyDescent="0.3">
      <c r="A181" t="s">
        <v>936</v>
      </c>
      <c r="B181" t="s">
        <v>742</v>
      </c>
      <c r="C181" t="s">
        <v>1388</v>
      </c>
      <c r="D181" t="s">
        <v>44</v>
      </c>
      <c r="E181" s="1">
        <v>46055</v>
      </c>
      <c r="F181">
        <v>23</v>
      </c>
      <c r="G181">
        <v>1</v>
      </c>
      <c r="H181">
        <v>34</v>
      </c>
      <c r="I181">
        <v>2</v>
      </c>
      <c r="J181" t="s">
        <v>359</v>
      </c>
      <c r="K181" t="s">
        <v>1959</v>
      </c>
      <c r="L181" t="s">
        <v>2441</v>
      </c>
      <c r="M181" s="3" t="str">
        <f>HYPERLINK("https://ovidsp.ovid.com/ovidweb.cgi?T=JS&amp;NEWS=n&amp;CSC=Y&amp;PAGE=toc&amp;D=yrovft&amp;AN=00019048-000000000-00000","https://ovidsp.ovid.com/ovidweb.cgi?T=JS&amp;NEWS=n&amp;CSC=Y&amp;PAGE=toc&amp;D=yrovft&amp;AN=00019048-000000000-00000")</f>
        <v>https://ovidsp.ovid.com/ovidweb.cgi?T=JS&amp;NEWS=n&amp;CSC=Y&amp;PAGE=toc&amp;D=yrovft&amp;AN=00019048-000000000-00000</v>
      </c>
      <c r="N181" t="s">
        <v>2652</v>
      </c>
      <c r="O181" t="s">
        <v>2151</v>
      </c>
      <c r="P181" t="s">
        <v>2431</v>
      </c>
      <c r="Q181">
        <v>1428052</v>
      </c>
      <c r="R181" t="s">
        <v>1262</v>
      </c>
      <c r="S181" t="s">
        <v>84</v>
      </c>
      <c r="T181" t="s">
        <v>2152</v>
      </c>
      <c r="U181" t="s">
        <v>542</v>
      </c>
      <c r="V181" t="b">
        <v>0</v>
      </c>
      <c r="W181" t="s">
        <v>2022</v>
      </c>
      <c r="X181" t="b">
        <v>0</v>
      </c>
      <c r="Y181" t="s">
        <v>2022</v>
      </c>
      <c r="Z181" t="s">
        <v>1351</v>
      </c>
      <c r="AA181" t="s">
        <v>192</v>
      </c>
      <c r="AB181" t="s">
        <v>192</v>
      </c>
    </row>
    <row r="182" spans="1:28" x14ac:dyDescent="0.3">
      <c r="A182" t="s">
        <v>2165</v>
      </c>
      <c r="B182" t="s">
        <v>2022</v>
      </c>
      <c r="C182" t="s">
        <v>1021</v>
      </c>
      <c r="D182" t="s">
        <v>44</v>
      </c>
      <c r="E182" s="1">
        <v>46055</v>
      </c>
      <c r="F182">
        <v>1</v>
      </c>
      <c r="G182">
        <v>1</v>
      </c>
      <c r="H182">
        <v>7</v>
      </c>
      <c r="I182">
        <v>4</v>
      </c>
      <c r="J182" t="s">
        <v>351</v>
      </c>
      <c r="K182" t="s">
        <v>2593</v>
      </c>
      <c r="L182" t="s">
        <v>2771</v>
      </c>
      <c r="M182" s="3" t="str">
        <f>HYPERLINK("https://ovidsp.ovid.com/ovidweb.cgi?T=JS&amp;NEWS=n&amp;CSC=Y&amp;PAGE=toc&amp;D=yrovft&amp;AN=02123149-000000000-00000","https://ovidsp.ovid.com/ovidweb.cgi?T=JS&amp;NEWS=n&amp;CSC=Y&amp;PAGE=toc&amp;D=yrovft&amp;AN=02123149-000000000-00000")</f>
        <v>https://ovidsp.ovid.com/ovidweb.cgi?T=JS&amp;NEWS=n&amp;CSC=Y&amp;PAGE=toc&amp;D=yrovft&amp;AN=02123149-000000000-00000</v>
      </c>
      <c r="N182" t="s">
        <v>1248</v>
      </c>
      <c r="O182" t="s">
        <v>2151</v>
      </c>
      <c r="P182" t="s">
        <v>2431</v>
      </c>
      <c r="Q182">
        <v>1428052</v>
      </c>
      <c r="R182" t="s">
        <v>1565</v>
      </c>
      <c r="S182" t="s">
        <v>84</v>
      </c>
      <c r="T182" t="s">
        <v>2152</v>
      </c>
      <c r="U182" t="s">
        <v>2384</v>
      </c>
      <c r="V182" t="b">
        <v>1</v>
      </c>
      <c r="W182" t="s">
        <v>782</v>
      </c>
      <c r="X182" t="b">
        <v>0</v>
      </c>
      <c r="Y182" t="s">
        <v>2022</v>
      </c>
      <c r="Z182" t="s">
        <v>1351</v>
      </c>
      <c r="AA182" t="s">
        <v>192</v>
      </c>
      <c r="AB182" t="s">
        <v>192</v>
      </c>
    </row>
    <row r="183" spans="1:28" x14ac:dyDescent="0.3">
      <c r="A183" t="s">
        <v>2309</v>
      </c>
      <c r="B183" t="s">
        <v>2022</v>
      </c>
      <c r="C183" t="s">
        <v>679</v>
      </c>
      <c r="D183" t="s">
        <v>44</v>
      </c>
      <c r="E183" s="1">
        <v>46055</v>
      </c>
      <c r="F183">
        <v>8</v>
      </c>
      <c r="G183">
        <v>1</v>
      </c>
      <c r="H183">
        <v>13</v>
      </c>
      <c r="I183">
        <v>1</v>
      </c>
      <c r="J183" t="s">
        <v>2778</v>
      </c>
      <c r="K183" t="s">
        <v>982</v>
      </c>
      <c r="L183" t="s">
        <v>2441</v>
      </c>
      <c r="M183" s="3" t="str">
        <f>HYPERLINK("https://ovidsp.ovid.com/ovidweb.cgi?T=JS&amp;NEWS=n&amp;CSC=Y&amp;PAGE=toc&amp;D=yrovft&amp;AN=02273976-000000000-00000","https://ovidsp.ovid.com/ovidweb.cgi?T=JS&amp;NEWS=n&amp;CSC=Y&amp;PAGE=toc&amp;D=yrovft&amp;AN=02273976-000000000-00000")</f>
        <v>https://ovidsp.ovid.com/ovidweb.cgi?T=JS&amp;NEWS=n&amp;CSC=Y&amp;PAGE=toc&amp;D=yrovft&amp;AN=02273976-000000000-00000</v>
      </c>
      <c r="N183" t="s">
        <v>2079</v>
      </c>
      <c r="O183" t="s">
        <v>2151</v>
      </c>
      <c r="P183" t="s">
        <v>2431</v>
      </c>
      <c r="Q183">
        <v>1428052</v>
      </c>
      <c r="R183" t="s">
        <v>101</v>
      </c>
      <c r="S183" t="s">
        <v>84</v>
      </c>
      <c r="T183" t="s">
        <v>2152</v>
      </c>
      <c r="U183" t="s">
        <v>404</v>
      </c>
      <c r="V183" t="b">
        <v>0</v>
      </c>
      <c r="W183" t="s">
        <v>2022</v>
      </c>
      <c r="X183" t="b">
        <v>0</v>
      </c>
      <c r="Y183" t="s">
        <v>2022</v>
      </c>
      <c r="Z183" t="s">
        <v>1351</v>
      </c>
      <c r="AA183" t="s">
        <v>192</v>
      </c>
      <c r="AB183" t="s">
        <v>192</v>
      </c>
    </row>
    <row r="184" spans="1:28" x14ac:dyDescent="0.3">
      <c r="A184" t="s">
        <v>308</v>
      </c>
      <c r="B184" t="s">
        <v>2022</v>
      </c>
      <c r="C184" t="s">
        <v>934</v>
      </c>
      <c r="D184" t="s">
        <v>44</v>
      </c>
      <c r="E184" s="1">
        <v>46055</v>
      </c>
      <c r="F184">
        <v>1</v>
      </c>
      <c r="G184">
        <v>1</v>
      </c>
      <c r="H184">
        <v>4</v>
      </c>
      <c r="I184">
        <v>4</v>
      </c>
      <c r="J184" t="s">
        <v>2353</v>
      </c>
      <c r="K184" t="s">
        <v>516</v>
      </c>
      <c r="L184" t="s">
        <v>2771</v>
      </c>
      <c r="M184" s="3" t="str">
        <f>HYPERLINK("https://ovidsp.ovid.com/ovidweb.cgi?T=JS&amp;NEWS=n&amp;CSC=Y&amp;PAGE=toc&amp;D=yrovft&amp;AN=02273912-000000000-00000","https://ovidsp.ovid.com/ovidweb.cgi?T=JS&amp;NEWS=n&amp;CSC=Y&amp;PAGE=toc&amp;D=yrovft&amp;AN=02273912-000000000-00000")</f>
        <v>https://ovidsp.ovid.com/ovidweb.cgi?T=JS&amp;NEWS=n&amp;CSC=Y&amp;PAGE=toc&amp;D=yrovft&amp;AN=02273912-000000000-00000</v>
      </c>
      <c r="N184" t="s">
        <v>58</v>
      </c>
      <c r="O184" t="s">
        <v>2151</v>
      </c>
      <c r="P184" t="s">
        <v>2431</v>
      </c>
      <c r="Q184">
        <v>1428052</v>
      </c>
      <c r="R184" t="s">
        <v>1971</v>
      </c>
      <c r="S184" t="s">
        <v>84</v>
      </c>
      <c r="T184" t="s">
        <v>2152</v>
      </c>
      <c r="U184" t="s">
        <v>1497</v>
      </c>
      <c r="V184" t="b">
        <v>0</v>
      </c>
      <c r="W184" t="s">
        <v>2022</v>
      </c>
      <c r="X184" t="b">
        <v>0</v>
      </c>
      <c r="Y184" t="s">
        <v>2022</v>
      </c>
      <c r="Z184" t="s">
        <v>2070</v>
      </c>
      <c r="AA184" t="s">
        <v>192</v>
      </c>
      <c r="AB184" t="s">
        <v>192</v>
      </c>
    </row>
    <row r="185" spans="1:28" x14ac:dyDescent="0.3">
      <c r="A185" t="s">
        <v>3008</v>
      </c>
      <c r="B185" t="s">
        <v>2454</v>
      </c>
      <c r="C185" t="s">
        <v>2548</v>
      </c>
      <c r="D185" t="s">
        <v>44</v>
      </c>
      <c r="E185" s="1">
        <v>46055</v>
      </c>
      <c r="F185">
        <v>53</v>
      </c>
      <c r="G185">
        <v>1</v>
      </c>
      <c r="H185">
        <v>64</v>
      </c>
      <c r="I185">
        <v>1</v>
      </c>
      <c r="J185" t="s">
        <v>672</v>
      </c>
      <c r="K185" t="s">
        <v>1959</v>
      </c>
      <c r="L185" t="s">
        <v>2919</v>
      </c>
      <c r="M185" s="3" t="str">
        <f>HYPERLINK("https://ovidsp.ovid.com/ovidweb.cgi?T=JS&amp;NEWS=n&amp;CSC=Y&amp;PAGE=toc&amp;D=yrovft&amp;AN=00004311-000000000-00000","https://ovidsp.ovid.com/ovidweb.cgi?T=JS&amp;NEWS=n&amp;CSC=Y&amp;PAGE=toc&amp;D=yrovft&amp;AN=00004311-000000000-00000")</f>
        <v>https://ovidsp.ovid.com/ovidweb.cgi?T=JS&amp;NEWS=n&amp;CSC=Y&amp;PAGE=toc&amp;D=yrovft&amp;AN=00004311-000000000-00000</v>
      </c>
      <c r="N185" t="s">
        <v>873</v>
      </c>
      <c r="O185" t="s">
        <v>2151</v>
      </c>
      <c r="P185" t="s">
        <v>2431</v>
      </c>
      <c r="Q185">
        <v>1428052</v>
      </c>
      <c r="R185" t="s">
        <v>2008</v>
      </c>
      <c r="S185" t="s">
        <v>84</v>
      </c>
      <c r="T185" t="s">
        <v>2152</v>
      </c>
      <c r="U185" t="s">
        <v>2598</v>
      </c>
      <c r="V185" t="b">
        <v>1</v>
      </c>
      <c r="W185" t="s">
        <v>208</v>
      </c>
      <c r="X185" t="b">
        <v>0</v>
      </c>
      <c r="Y185" t="s">
        <v>2022</v>
      </c>
      <c r="Z185" t="s">
        <v>118</v>
      </c>
      <c r="AA185" t="s">
        <v>192</v>
      </c>
      <c r="AB185" t="s">
        <v>192</v>
      </c>
    </row>
    <row r="186" spans="1:28" x14ac:dyDescent="0.3">
      <c r="A186" t="s">
        <v>836</v>
      </c>
      <c r="B186" t="s">
        <v>1186</v>
      </c>
      <c r="C186" t="s">
        <v>1319</v>
      </c>
      <c r="D186" t="s">
        <v>44</v>
      </c>
      <c r="E186" s="1">
        <v>46055</v>
      </c>
      <c r="F186">
        <v>30</v>
      </c>
      <c r="G186">
        <v>1</v>
      </c>
      <c r="H186">
        <v>41</v>
      </c>
      <c r="I186">
        <v>2</v>
      </c>
      <c r="J186" t="s">
        <v>359</v>
      </c>
      <c r="K186" t="s">
        <v>1959</v>
      </c>
      <c r="L186" t="s">
        <v>2441</v>
      </c>
      <c r="M186" s="3" t="str">
        <f>HYPERLINK("https://ovidsp.ovid.com/ovidweb.cgi?T=JS&amp;NEWS=n&amp;CSC=Y&amp;PAGE=toc&amp;D=yrovft&amp;AN=00004850-000000000-00000","https://ovidsp.ovid.com/ovidweb.cgi?T=JS&amp;NEWS=n&amp;CSC=Y&amp;PAGE=toc&amp;D=yrovft&amp;AN=00004850-000000000-00000")</f>
        <v>https://ovidsp.ovid.com/ovidweb.cgi?T=JS&amp;NEWS=n&amp;CSC=Y&amp;PAGE=toc&amp;D=yrovft&amp;AN=00004850-000000000-00000</v>
      </c>
      <c r="N186" t="s">
        <v>3130</v>
      </c>
      <c r="O186" t="s">
        <v>2151</v>
      </c>
      <c r="P186" t="s">
        <v>2431</v>
      </c>
      <c r="Q186">
        <v>1428052</v>
      </c>
      <c r="R186" t="s">
        <v>1406</v>
      </c>
      <c r="S186" t="s">
        <v>84</v>
      </c>
      <c r="T186" t="s">
        <v>2152</v>
      </c>
      <c r="U186" t="s">
        <v>2402</v>
      </c>
      <c r="V186" t="b">
        <v>1</v>
      </c>
      <c r="W186" t="s">
        <v>1810</v>
      </c>
      <c r="X186" t="b">
        <v>0</v>
      </c>
      <c r="Y186" t="s">
        <v>2022</v>
      </c>
      <c r="Z186" t="s">
        <v>2153</v>
      </c>
      <c r="AA186" t="s">
        <v>192</v>
      </c>
      <c r="AB186" t="s">
        <v>192</v>
      </c>
    </row>
    <row r="187" spans="1:28" x14ac:dyDescent="0.3">
      <c r="A187" t="s">
        <v>2100</v>
      </c>
      <c r="B187" t="s">
        <v>2636</v>
      </c>
      <c r="C187" t="s">
        <v>3138</v>
      </c>
      <c r="D187" t="s">
        <v>44</v>
      </c>
      <c r="E187" s="1">
        <v>46055</v>
      </c>
      <c r="F187">
        <v>40</v>
      </c>
      <c r="G187">
        <v>1</v>
      </c>
      <c r="H187">
        <v>42</v>
      </c>
      <c r="I187">
        <v>5</v>
      </c>
      <c r="J187" t="s">
        <v>504</v>
      </c>
      <c r="K187" t="s">
        <v>2011</v>
      </c>
      <c r="L187" t="s">
        <v>151</v>
      </c>
      <c r="M187" s="3" t="str">
        <f>HYPERLINK("https://ovidsp.ovid.com/ovidweb.cgi?T=JS&amp;NEWS=n&amp;CSC=Y&amp;PAGE=toc&amp;D=yrovft&amp;AN=00021668-000000000-00000","https://ovidsp.ovid.com/ovidweb.cgi?T=JS&amp;NEWS=n&amp;CSC=Y&amp;PAGE=toc&amp;D=yrovft&amp;AN=00021668-000000000-00000")</f>
        <v>https://ovidsp.ovid.com/ovidweb.cgi?T=JS&amp;NEWS=n&amp;CSC=Y&amp;PAGE=toc&amp;D=yrovft&amp;AN=00021668-000000000-00000</v>
      </c>
      <c r="N187" t="s">
        <v>2022</v>
      </c>
      <c r="O187" t="s">
        <v>2151</v>
      </c>
      <c r="P187" t="s">
        <v>2431</v>
      </c>
      <c r="Q187">
        <v>1428052</v>
      </c>
      <c r="R187" t="s">
        <v>1717</v>
      </c>
      <c r="S187" t="s">
        <v>84</v>
      </c>
      <c r="T187" t="s">
        <v>2152</v>
      </c>
      <c r="U187" t="s">
        <v>26</v>
      </c>
      <c r="V187" t="b">
        <v>0</v>
      </c>
      <c r="W187" t="s">
        <v>2022</v>
      </c>
      <c r="X187" t="b">
        <v>0</v>
      </c>
      <c r="Y187" t="s">
        <v>2022</v>
      </c>
      <c r="Z187" t="s">
        <v>2022</v>
      </c>
      <c r="AA187" t="s">
        <v>192</v>
      </c>
      <c r="AB187" t="s">
        <v>192</v>
      </c>
    </row>
    <row r="188" spans="1:28" x14ac:dyDescent="0.3">
      <c r="A188" t="s">
        <v>1668</v>
      </c>
      <c r="B188" t="s">
        <v>1049</v>
      </c>
      <c r="C188" t="s">
        <v>2022</v>
      </c>
      <c r="D188" t="s">
        <v>44</v>
      </c>
      <c r="E188" s="1">
        <v>46055</v>
      </c>
      <c r="F188">
        <v>2</v>
      </c>
      <c r="G188">
        <v>1</v>
      </c>
      <c r="H188">
        <v>8</v>
      </c>
      <c r="I188">
        <v>4</v>
      </c>
      <c r="J188" t="s">
        <v>452</v>
      </c>
      <c r="K188" t="s">
        <v>728</v>
      </c>
      <c r="L188" t="s">
        <v>2771</v>
      </c>
      <c r="M188" s="3" t="str">
        <f>HYPERLINK("https://ovidsp.ovid.com/ovidweb.cgi?T=JS&amp;NEWS=n&amp;CSC=Y&amp;PAGE=toc&amp;D=yrovft&amp;AN=02123148-000000000-00000","https://ovidsp.ovid.com/ovidweb.cgi?T=JS&amp;NEWS=n&amp;CSC=Y&amp;PAGE=toc&amp;D=yrovft&amp;AN=02123148-000000000-00000")</f>
        <v>https://ovidsp.ovid.com/ovidweb.cgi?T=JS&amp;NEWS=n&amp;CSC=Y&amp;PAGE=toc&amp;D=yrovft&amp;AN=02123148-000000000-00000</v>
      </c>
      <c r="N188" t="s">
        <v>2063</v>
      </c>
      <c r="O188" t="s">
        <v>2151</v>
      </c>
      <c r="P188" t="s">
        <v>2431</v>
      </c>
      <c r="Q188">
        <v>1428052</v>
      </c>
      <c r="R188" t="s">
        <v>1623</v>
      </c>
      <c r="S188" t="s">
        <v>84</v>
      </c>
      <c r="T188" t="s">
        <v>2152</v>
      </c>
      <c r="U188" t="s">
        <v>3120</v>
      </c>
      <c r="V188" t="b">
        <v>1</v>
      </c>
      <c r="W188" t="s">
        <v>1244</v>
      </c>
      <c r="X188" t="b">
        <v>0</v>
      </c>
      <c r="Y188" t="s">
        <v>2022</v>
      </c>
      <c r="Z188" t="s">
        <v>1351</v>
      </c>
      <c r="AA188" t="s">
        <v>192</v>
      </c>
      <c r="AB188" t="s">
        <v>192</v>
      </c>
    </row>
    <row r="189" spans="1:28" x14ac:dyDescent="0.3">
      <c r="A189" t="s">
        <v>1945</v>
      </c>
      <c r="B189" t="s">
        <v>1012</v>
      </c>
      <c r="C189" t="s">
        <v>3109</v>
      </c>
      <c r="D189" t="s">
        <v>44</v>
      </c>
      <c r="E189" s="1">
        <v>46055</v>
      </c>
      <c r="F189">
        <v>13</v>
      </c>
      <c r="G189">
        <v>1</v>
      </c>
      <c r="H189">
        <v>18</v>
      </c>
      <c r="I189">
        <v>2</v>
      </c>
      <c r="J189" t="s">
        <v>2210</v>
      </c>
      <c r="K189" t="s">
        <v>2249</v>
      </c>
      <c r="L189" t="s">
        <v>1725</v>
      </c>
      <c r="M189" s="3" t="str">
        <f>HYPERLINK("https://ovidsp.ovid.com/ovidweb.cgi?T=JS&amp;NEWS=n&amp;CSC=Y&amp;PAGE=toc&amp;D=yrovft&amp;AN=01787381-000000000-00000","https://ovidsp.ovid.com/ovidweb.cgi?T=JS&amp;NEWS=n&amp;CSC=Y&amp;PAGE=toc&amp;D=yrovft&amp;AN=01787381-000000000-00000")</f>
        <v>https://ovidsp.ovid.com/ovidweb.cgi?T=JS&amp;NEWS=n&amp;CSC=Y&amp;PAGE=toc&amp;D=yrovft&amp;AN=01787381-000000000-00000</v>
      </c>
      <c r="N189" t="s">
        <v>785</v>
      </c>
      <c r="O189" t="s">
        <v>2151</v>
      </c>
      <c r="P189" t="s">
        <v>2431</v>
      </c>
      <c r="Q189">
        <v>1428052</v>
      </c>
      <c r="R189" t="s">
        <v>645</v>
      </c>
      <c r="S189" t="s">
        <v>84</v>
      </c>
      <c r="T189" t="s">
        <v>2152</v>
      </c>
      <c r="U189" t="s">
        <v>2039</v>
      </c>
      <c r="V189" t="b">
        <v>1</v>
      </c>
      <c r="W189" t="s">
        <v>434</v>
      </c>
      <c r="X189" t="b">
        <v>0</v>
      </c>
      <c r="Y189" t="s">
        <v>2022</v>
      </c>
      <c r="Z189" t="s">
        <v>1351</v>
      </c>
      <c r="AA189" t="s">
        <v>192</v>
      </c>
      <c r="AB189" t="s">
        <v>192</v>
      </c>
    </row>
    <row r="190" spans="1:28" x14ac:dyDescent="0.3">
      <c r="A190" t="s">
        <v>655</v>
      </c>
      <c r="B190" t="s">
        <v>767</v>
      </c>
      <c r="C190" t="s">
        <v>1868</v>
      </c>
      <c r="D190" t="s">
        <v>44</v>
      </c>
      <c r="E190" s="1">
        <v>46055</v>
      </c>
      <c r="F190">
        <v>34</v>
      </c>
      <c r="G190">
        <v>1</v>
      </c>
      <c r="H190">
        <v>45</v>
      </c>
      <c r="I190">
        <v>1</v>
      </c>
      <c r="J190" t="s">
        <v>672</v>
      </c>
      <c r="K190" t="s">
        <v>1959</v>
      </c>
      <c r="L190" t="s">
        <v>2919</v>
      </c>
      <c r="M190" s="3" t="str">
        <f>HYPERLINK("https://ovidsp.ovid.com/ovidweb.cgi?T=JS&amp;NEWS=n&amp;CSC=Y&amp;PAGE=toc&amp;D=yrovft&amp;AN=00004347-000000000-00000","https://ovidsp.ovid.com/ovidweb.cgi?T=JS&amp;NEWS=n&amp;CSC=Y&amp;PAGE=toc&amp;D=yrovft&amp;AN=00004347-000000000-00000")</f>
        <v>https://ovidsp.ovid.com/ovidweb.cgi?T=JS&amp;NEWS=n&amp;CSC=Y&amp;PAGE=toc&amp;D=yrovft&amp;AN=00004347-000000000-00000</v>
      </c>
      <c r="N190" t="s">
        <v>1364</v>
      </c>
      <c r="O190" t="s">
        <v>2151</v>
      </c>
      <c r="P190" t="s">
        <v>2431</v>
      </c>
      <c r="Q190">
        <v>1428052</v>
      </c>
      <c r="R190" t="s">
        <v>99</v>
      </c>
      <c r="S190" t="s">
        <v>84</v>
      </c>
      <c r="T190" t="s">
        <v>2152</v>
      </c>
      <c r="U190" t="s">
        <v>1447</v>
      </c>
      <c r="V190" t="b">
        <v>1</v>
      </c>
      <c r="W190" t="s">
        <v>2726</v>
      </c>
      <c r="X190" t="b">
        <v>0</v>
      </c>
      <c r="Y190" t="s">
        <v>2022</v>
      </c>
      <c r="Z190" t="s">
        <v>3029</v>
      </c>
      <c r="AA190" t="s">
        <v>192</v>
      </c>
      <c r="AB190" t="s">
        <v>192</v>
      </c>
    </row>
    <row r="191" spans="1:28" x14ac:dyDescent="0.3">
      <c r="A191" t="s">
        <v>1524</v>
      </c>
      <c r="B191" t="s">
        <v>1127</v>
      </c>
      <c r="C191" t="s">
        <v>1879</v>
      </c>
      <c r="D191" t="s">
        <v>44</v>
      </c>
      <c r="E191" s="1">
        <v>46055</v>
      </c>
      <c r="F191">
        <v>38</v>
      </c>
      <c r="G191">
        <v>1</v>
      </c>
      <c r="H191">
        <v>48</v>
      </c>
      <c r="I191">
        <v>4</v>
      </c>
      <c r="J191" t="s">
        <v>1947</v>
      </c>
      <c r="K191" t="s">
        <v>2249</v>
      </c>
      <c r="L191" t="s">
        <v>2771</v>
      </c>
      <c r="M191" s="3" t="str">
        <f>HYPERLINK("https://ovidsp.ovid.com/ovidweb.cgi?T=JS&amp;NEWS=n&amp;CSC=Y&amp;PAGE=toc&amp;D=yrovft&amp;AN=00004356-000000000-00000","https://ovidsp.ovid.com/ovidweb.cgi?T=JS&amp;NEWS=n&amp;CSC=Y&amp;PAGE=toc&amp;D=yrovft&amp;AN=00004356-000000000-00000")</f>
        <v>https://ovidsp.ovid.com/ovidweb.cgi?T=JS&amp;NEWS=n&amp;CSC=Y&amp;PAGE=toc&amp;D=yrovft&amp;AN=00004356-000000000-00000</v>
      </c>
      <c r="N191" t="s">
        <v>2660</v>
      </c>
      <c r="O191" t="s">
        <v>2151</v>
      </c>
      <c r="P191" t="s">
        <v>2431</v>
      </c>
      <c r="Q191">
        <v>1428052</v>
      </c>
      <c r="R191" t="s">
        <v>2277</v>
      </c>
      <c r="S191" t="s">
        <v>84</v>
      </c>
      <c r="T191" t="s">
        <v>2152</v>
      </c>
      <c r="U191" t="s">
        <v>1985</v>
      </c>
      <c r="V191" t="b">
        <v>1</v>
      </c>
      <c r="W191" t="s">
        <v>1581</v>
      </c>
      <c r="X191" t="b">
        <v>0</v>
      </c>
      <c r="Y191" t="s">
        <v>2022</v>
      </c>
      <c r="Z191" t="s">
        <v>2196</v>
      </c>
      <c r="AA191" t="s">
        <v>192</v>
      </c>
      <c r="AB191" t="s">
        <v>192</v>
      </c>
    </row>
    <row r="192" spans="1:28" x14ac:dyDescent="0.3">
      <c r="A192" t="s">
        <v>2824</v>
      </c>
      <c r="B192" t="s">
        <v>2022</v>
      </c>
      <c r="C192" t="s">
        <v>1479</v>
      </c>
      <c r="D192" t="s">
        <v>44</v>
      </c>
      <c r="E192" s="1">
        <v>46055</v>
      </c>
      <c r="F192">
        <v>2</v>
      </c>
      <c r="G192">
        <v>2</v>
      </c>
      <c r="H192">
        <v>112</v>
      </c>
      <c r="I192">
        <v>1</v>
      </c>
      <c r="J192" t="s">
        <v>1728</v>
      </c>
      <c r="K192" t="s">
        <v>1568</v>
      </c>
      <c r="L192" t="s">
        <v>2919</v>
      </c>
      <c r="M192" s="3" t="str">
        <f>HYPERLINK("https://ovidsp.ovid.com/ovidweb.cgi?T=JS&amp;NEWS=n&amp;CSC=Y&amp;PAGE=toc&amp;D=yrovft&amp;AN=01279778-000000000-00000","https://ovidsp.ovid.com/ovidweb.cgi?T=JS&amp;NEWS=n&amp;CSC=Y&amp;PAGE=toc&amp;D=yrovft&amp;AN=01279778-000000000-00000")</f>
        <v>https://ovidsp.ovid.com/ovidweb.cgi?T=JS&amp;NEWS=n&amp;CSC=Y&amp;PAGE=toc&amp;D=yrovft&amp;AN=01279778-000000000-00000</v>
      </c>
      <c r="N192" t="s">
        <v>28</v>
      </c>
      <c r="O192" t="s">
        <v>2151</v>
      </c>
      <c r="P192" t="s">
        <v>2431</v>
      </c>
      <c r="Q192">
        <v>1428052</v>
      </c>
      <c r="R192" t="s">
        <v>2399</v>
      </c>
      <c r="S192" t="s">
        <v>84</v>
      </c>
      <c r="T192" t="s">
        <v>2152</v>
      </c>
      <c r="U192" t="s">
        <v>385</v>
      </c>
      <c r="V192" t="b">
        <v>1</v>
      </c>
      <c r="W192" t="s">
        <v>664</v>
      </c>
      <c r="X192" t="b">
        <v>0</v>
      </c>
      <c r="Y192" t="s">
        <v>2022</v>
      </c>
      <c r="Z192" t="s">
        <v>1351</v>
      </c>
      <c r="AA192" t="s">
        <v>192</v>
      </c>
      <c r="AB192" t="s">
        <v>192</v>
      </c>
    </row>
    <row r="193" spans="1:28" x14ac:dyDescent="0.3">
      <c r="A193" t="s">
        <v>1809</v>
      </c>
      <c r="B193" t="s">
        <v>2022</v>
      </c>
      <c r="C193" t="s">
        <v>1856</v>
      </c>
      <c r="D193" t="s">
        <v>44</v>
      </c>
      <c r="E193" s="1">
        <v>46055</v>
      </c>
      <c r="F193">
        <v>1</v>
      </c>
      <c r="G193">
        <v>0</v>
      </c>
      <c r="H193">
        <v>10</v>
      </c>
      <c r="I193">
        <v>4</v>
      </c>
      <c r="J193" t="s">
        <v>1046</v>
      </c>
      <c r="K193" t="s">
        <v>2571</v>
      </c>
      <c r="L193" t="s">
        <v>2771</v>
      </c>
      <c r="M193" s="3" t="str">
        <f>HYPERLINK("https://ovidsp.ovid.com/ovidweb.cgi?T=JS&amp;NEWS=n&amp;CSC=Y&amp;PAGE=toc&amp;D=yrovft&amp;AN=01943953-000000000-00000","https://ovidsp.ovid.com/ovidweb.cgi?T=JS&amp;NEWS=n&amp;CSC=Y&amp;PAGE=toc&amp;D=yrovft&amp;AN=01943953-000000000-00000")</f>
        <v>https://ovidsp.ovid.com/ovidweb.cgi?T=JS&amp;NEWS=n&amp;CSC=Y&amp;PAGE=toc&amp;D=yrovft&amp;AN=01943953-000000000-00000</v>
      </c>
      <c r="N193" t="s">
        <v>1396</v>
      </c>
      <c r="O193" t="s">
        <v>2151</v>
      </c>
      <c r="P193" t="s">
        <v>2431</v>
      </c>
      <c r="Q193">
        <v>1428052</v>
      </c>
      <c r="R193" t="s">
        <v>1056</v>
      </c>
      <c r="S193" t="s">
        <v>84</v>
      </c>
      <c r="T193" t="s">
        <v>2152</v>
      </c>
      <c r="U193" t="s">
        <v>734</v>
      </c>
      <c r="V193" t="b">
        <v>1</v>
      </c>
      <c r="W193" t="s">
        <v>2704</v>
      </c>
      <c r="X193" t="b">
        <v>0</v>
      </c>
      <c r="Y193" t="s">
        <v>2022</v>
      </c>
      <c r="Z193" t="s">
        <v>1351</v>
      </c>
      <c r="AA193" t="s">
        <v>192</v>
      </c>
      <c r="AB193" t="s">
        <v>192</v>
      </c>
    </row>
    <row r="194" spans="1:28" x14ac:dyDescent="0.3">
      <c r="A194" t="s">
        <v>2369</v>
      </c>
      <c r="B194" t="s">
        <v>2022</v>
      </c>
      <c r="C194" t="s">
        <v>1292</v>
      </c>
      <c r="D194" t="s">
        <v>44</v>
      </c>
      <c r="E194" s="1">
        <v>46055</v>
      </c>
      <c r="F194">
        <v>1</v>
      </c>
      <c r="G194">
        <v>0</v>
      </c>
      <c r="H194">
        <v>63</v>
      </c>
      <c r="I194">
        <v>6</v>
      </c>
      <c r="J194" t="s">
        <v>1451</v>
      </c>
      <c r="K194" t="s">
        <v>1959</v>
      </c>
      <c r="L194" t="s">
        <v>2771</v>
      </c>
      <c r="M194" s="3" t="str">
        <f>HYPERLINK("https://ovidsp.ovid.com/ovidweb.cgi?T=JS&amp;NEWS=n&amp;CSC=Y&amp;PAGE=toc&amp;D=yrovft&amp;AN=02272498-000000000-00000","https://ovidsp.ovid.com/ovidweb.cgi?T=JS&amp;NEWS=n&amp;CSC=Y&amp;PAGE=toc&amp;D=yrovft&amp;AN=02272498-000000000-00000")</f>
        <v>https://ovidsp.ovid.com/ovidweb.cgi?T=JS&amp;NEWS=n&amp;CSC=Y&amp;PAGE=toc&amp;D=yrovft&amp;AN=02272498-000000000-00000</v>
      </c>
      <c r="N194" t="s">
        <v>1313</v>
      </c>
      <c r="O194" t="s">
        <v>2151</v>
      </c>
      <c r="P194" t="s">
        <v>2431</v>
      </c>
      <c r="Q194">
        <v>1428052</v>
      </c>
      <c r="R194" t="s">
        <v>2159</v>
      </c>
      <c r="S194" t="s">
        <v>84</v>
      </c>
      <c r="T194" t="s">
        <v>2152</v>
      </c>
      <c r="U194" t="s">
        <v>1824</v>
      </c>
      <c r="V194" t="b">
        <v>1</v>
      </c>
      <c r="W194" t="s">
        <v>2311</v>
      </c>
      <c r="X194" t="b">
        <v>0</v>
      </c>
      <c r="Y194" t="s">
        <v>2022</v>
      </c>
      <c r="Z194" t="s">
        <v>1351</v>
      </c>
      <c r="AA194" t="s">
        <v>192</v>
      </c>
      <c r="AB194" t="s">
        <v>192</v>
      </c>
    </row>
    <row r="195" spans="1:28" x14ac:dyDescent="0.3">
      <c r="A195" t="s">
        <v>430</v>
      </c>
      <c r="B195" t="s">
        <v>2022</v>
      </c>
      <c r="C195" t="s">
        <v>1865</v>
      </c>
      <c r="D195" t="s">
        <v>44</v>
      </c>
      <c r="E195" s="1">
        <v>46055</v>
      </c>
      <c r="F195">
        <v>1</v>
      </c>
      <c r="G195">
        <v>0</v>
      </c>
      <c r="H195">
        <v>29</v>
      </c>
      <c r="I195">
        <v>4</v>
      </c>
      <c r="J195" t="s">
        <v>1046</v>
      </c>
      <c r="K195" t="s">
        <v>2571</v>
      </c>
      <c r="L195" t="s">
        <v>2771</v>
      </c>
      <c r="M195" s="3" t="str">
        <f>HYPERLINK("https://ovidsp.ovid.com/ovidweb.cgi?T=JS&amp;NEWS=n&amp;CSC=Y&amp;PAGE=toc&amp;D=yrovft&amp;AN=02174540-000000000-00000","https://ovidsp.ovid.com/ovidweb.cgi?T=JS&amp;NEWS=n&amp;CSC=Y&amp;PAGE=toc&amp;D=yrovft&amp;AN=02174540-000000000-00000")</f>
        <v>https://ovidsp.ovid.com/ovidweb.cgi?T=JS&amp;NEWS=n&amp;CSC=Y&amp;PAGE=toc&amp;D=yrovft&amp;AN=02174540-000000000-00000</v>
      </c>
      <c r="N195" t="s">
        <v>2880</v>
      </c>
      <c r="O195" t="s">
        <v>2151</v>
      </c>
      <c r="P195" t="s">
        <v>2431</v>
      </c>
      <c r="Q195">
        <v>1428052</v>
      </c>
      <c r="R195" t="s">
        <v>224</v>
      </c>
      <c r="S195" t="s">
        <v>84</v>
      </c>
      <c r="T195" t="s">
        <v>2152</v>
      </c>
      <c r="U195" t="s">
        <v>3092</v>
      </c>
      <c r="V195" t="b">
        <v>0</v>
      </c>
      <c r="W195" t="s">
        <v>2022</v>
      </c>
      <c r="X195" t="b">
        <v>0</v>
      </c>
      <c r="Y195" t="s">
        <v>2022</v>
      </c>
      <c r="Z195" t="s">
        <v>2773</v>
      </c>
      <c r="AA195" t="s">
        <v>192</v>
      </c>
      <c r="AB195" t="s">
        <v>192</v>
      </c>
    </row>
    <row r="196" spans="1:28" x14ac:dyDescent="0.3">
      <c r="A196" t="s">
        <v>1153</v>
      </c>
      <c r="B196" t="s">
        <v>2022</v>
      </c>
      <c r="C196" t="s">
        <v>1390</v>
      </c>
      <c r="D196" t="s">
        <v>44</v>
      </c>
      <c r="E196" s="1">
        <v>46055</v>
      </c>
      <c r="F196">
        <v>1</v>
      </c>
      <c r="G196">
        <v>1</v>
      </c>
      <c r="H196">
        <v>9</v>
      </c>
      <c r="I196">
        <v>1</v>
      </c>
      <c r="J196" t="s">
        <v>1181</v>
      </c>
      <c r="K196" t="s">
        <v>2713</v>
      </c>
      <c r="L196" t="s">
        <v>2919</v>
      </c>
      <c r="M196" s="3" t="str">
        <f>HYPERLINK("https://ovidsp.ovid.com/ovidweb.cgi?T=JS&amp;NEWS=n&amp;CSC=Y&amp;PAGE=toc&amp;D=yrovft&amp;AN=02054256-000000000-00000","https://ovidsp.ovid.com/ovidweb.cgi?T=JS&amp;NEWS=n&amp;CSC=Y&amp;PAGE=toc&amp;D=yrovft&amp;AN=02054256-000000000-00000")</f>
        <v>https://ovidsp.ovid.com/ovidweb.cgi?T=JS&amp;NEWS=n&amp;CSC=Y&amp;PAGE=toc&amp;D=yrovft&amp;AN=02054256-000000000-00000</v>
      </c>
      <c r="N196" t="s">
        <v>1238</v>
      </c>
      <c r="O196" t="s">
        <v>2151</v>
      </c>
      <c r="P196" t="s">
        <v>2431</v>
      </c>
      <c r="Q196">
        <v>1428052</v>
      </c>
      <c r="R196" t="s">
        <v>2642</v>
      </c>
      <c r="S196" t="s">
        <v>84</v>
      </c>
      <c r="T196" t="s">
        <v>2152</v>
      </c>
      <c r="U196" t="s">
        <v>2098</v>
      </c>
      <c r="V196" t="b">
        <v>0</v>
      </c>
      <c r="W196" t="s">
        <v>2022</v>
      </c>
      <c r="X196" t="b">
        <v>0</v>
      </c>
      <c r="Y196" t="s">
        <v>2022</v>
      </c>
      <c r="Z196" t="s">
        <v>1078</v>
      </c>
      <c r="AA196" t="s">
        <v>192</v>
      </c>
      <c r="AB196" t="s">
        <v>192</v>
      </c>
    </row>
    <row r="197" spans="1:28" x14ac:dyDescent="0.3">
      <c r="A197" t="s">
        <v>2130</v>
      </c>
      <c r="B197" t="s">
        <v>2022</v>
      </c>
      <c r="C197" t="s">
        <v>716</v>
      </c>
      <c r="D197" t="s">
        <v>44</v>
      </c>
      <c r="E197" s="1">
        <v>46055</v>
      </c>
      <c r="F197">
        <v>1</v>
      </c>
      <c r="G197">
        <v>1</v>
      </c>
      <c r="H197">
        <v>12</v>
      </c>
      <c r="I197">
        <v>1</v>
      </c>
      <c r="J197" t="s">
        <v>2884</v>
      </c>
      <c r="K197" t="s">
        <v>1525</v>
      </c>
      <c r="L197" t="s">
        <v>2441</v>
      </c>
      <c r="M197" s="3" t="str">
        <f>HYPERLINK("https://ovidsp.ovid.com/ovidweb.cgi?T=JS&amp;NEWS=n&amp;CSC=Y&amp;PAGE=toc&amp;D=yrovft&amp;AN=02014405-000000000-00000","https://ovidsp.ovid.com/ovidweb.cgi?T=JS&amp;NEWS=n&amp;CSC=Y&amp;PAGE=toc&amp;D=yrovft&amp;AN=02014405-000000000-00000")</f>
        <v>https://ovidsp.ovid.com/ovidweb.cgi?T=JS&amp;NEWS=n&amp;CSC=Y&amp;PAGE=toc&amp;D=yrovft&amp;AN=02014405-000000000-00000</v>
      </c>
      <c r="N197" t="s">
        <v>3002</v>
      </c>
      <c r="O197" t="s">
        <v>2151</v>
      </c>
      <c r="P197" t="s">
        <v>2431</v>
      </c>
      <c r="Q197">
        <v>1428052</v>
      </c>
      <c r="R197" t="s">
        <v>875</v>
      </c>
      <c r="S197" t="s">
        <v>84</v>
      </c>
      <c r="T197" t="s">
        <v>2152</v>
      </c>
      <c r="U197" t="s">
        <v>2360</v>
      </c>
      <c r="V197" t="b">
        <v>0</v>
      </c>
      <c r="W197" t="s">
        <v>2022</v>
      </c>
      <c r="X197" t="b">
        <v>0</v>
      </c>
      <c r="Y197" t="s">
        <v>2022</v>
      </c>
      <c r="Z197" t="s">
        <v>831</v>
      </c>
      <c r="AA197" t="s">
        <v>192</v>
      </c>
      <c r="AB197" t="s">
        <v>192</v>
      </c>
    </row>
    <row r="198" spans="1:28" x14ac:dyDescent="0.3">
      <c r="A198" t="s">
        <v>2318</v>
      </c>
      <c r="B198" t="s">
        <v>352</v>
      </c>
      <c r="C198" t="s">
        <v>2724</v>
      </c>
      <c r="D198" t="s">
        <v>44</v>
      </c>
      <c r="E198" s="1">
        <v>46055</v>
      </c>
      <c r="F198">
        <v>55</v>
      </c>
      <c r="G198">
        <v>1</v>
      </c>
      <c r="H198">
        <v>66</v>
      </c>
      <c r="I198">
        <v>1</v>
      </c>
      <c r="J198" t="s">
        <v>672</v>
      </c>
      <c r="K198" t="s">
        <v>1959</v>
      </c>
      <c r="L198" t="s">
        <v>2919</v>
      </c>
      <c r="M198" s="3" t="str">
        <f>HYPERLINK("https://ovidsp.ovid.com/ovidweb.cgi?T=JS&amp;NEWS=n&amp;CSC=Y&amp;PAGE=toc&amp;D=yrovft&amp;AN=00004397-000000000-00000","https://ovidsp.ovid.com/ovidweb.cgi?T=JS&amp;NEWS=n&amp;CSC=Y&amp;PAGE=toc&amp;D=yrovft&amp;AN=00004397-000000000-00000")</f>
        <v>https://ovidsp.ovid.com/ovidweb.cgi?T=JS&amp;NEWS=n&amp;CSC=Y&amp;PAGE=toc&amp;D=yrovft&amp;AN=00004397-000000000-00000</v>
      </c>
      <c r="N198" t="s">
        <v>336</v>
      </c>
      <c r="O198" t="s">
        <v>2151</v>
      </c>
      <c r="P198" t="s">
        <v>2431</v>
      </c>
      <c r="Q198">
        <v>1428052</v>
      </c>
      <c r="R198" t="s">
        <v>1222</v>
      </c>
      <c r="S198" t="s">
        <v>84</v>
      </c>
      <c r="T198" t="s">
        <v>2152</v>
      </c>
      <c r="U198" t="s">
        <v>2281</v>
      </c>
      <c r="V198" t="b">
        <v>0</v>
      </c>
      <c r="W198" t="s">
        <v>2022</v>
      </c>
      <c r="X198" t="b">
        <v>0</v>
      </c>
      <c r="Y198" t="s">
        <v>2022</v>
      </c>
      <c r="Z198" t="s">
        <v>831</v>
      </c>
      <c r="AA198" t="s">
        <v>192</v>
      </c>
      <c r="AB198" t="s">
        <v>192</v>
      </c>
    </row>
    <row r="199" spans="1:28" x14ac:dyDescent="0.3">
      <c r="A199" t="s">
        <v>2284</v>
      </c>
      <c r="B199" t="s">
        <v>2022</v>
      </c>
      <c r="C199" t="s">
        <v>8</v>
      </c>
      <c r="D199" t="s">
        <v>44</v>
      </c>
      <c r="E199" s="1">
        <v>46055</v>
      </c>
      <c r="F199">
        <v>50</v>
      </c>
      <c r="G199">
        <v>1</v>
      </c>
      <c r="H199">
        <v>61</v>
      </c>
      <c r="I199">
        <v>2</v>
      </c>
      <c r="J199" t="s">
        <v>2585</v>
      </c>
      <c r="K199" t="s">
        <v>1959</v>
      </c>
      <c r="L199" t="s">
        <v>712</v>
      </c>
      <c r="M199" s="3" t="str">
        <f>HYPERLINK("https://ovidsp.ovid.com/ovidweb.cgi?T=JS&amp;NEWS=n&amp;CSC=Y&amp;PAGE=toc&amp;D=yrovft&amp;AN=00004424-000000000-00000","https://ovidsp.ovid.com/ovidweb.cgi?T=JS&amp;NEWS=n&amp;CSC=Y&amp;PAGE=toc&amp;D=yrovft&amp;AN=00004424-000000000-00000")</f>
        <v>https://ovidsp.ovid.com/ovidweb.cgi?T=JS&amp;NEWS=n&amp;CSC=Y&amp;PAGE=toc&amp;D=yrovft&amp;AN=00004424-000000000-00000</v>
      </c>
      <c r="N199" t="s">
        <v>1188</v>
      </c>
      <c r="O199" t="s">
        <v>2151</v>
      </c>
      <c r="P199" t="s">
        <v>2431</v>
      </c>
      <c r="Q199">
        <v>1428052</v>
      </c>
      <c r="R199" t="s">
        <v>614</v>
      </c>
      <c r="S199" t="s">
        <v>84</v>
      </c>
      <c r="T199" t="s">
        <v>2152</v>
      </c>
      <c r="U199" t="s">
        <v>1934</v>
      </c>
      <c r="V199" t="b">
        <v>1</v>
      </c>
      <c r="W199" t="s">
        <v>1335</v>
      </c>
      <c r="X199" t="b">
        <v>0</v>
      </c>
      <c r="Y199" t="s">
        <v>2022</v>
      </c>
      <c r="Z199" t="s">
        <v>1351</v>
      </c>
      <c r="AA199" t="s">
        <v>192</v>
      </c>
      <c r="AB199" t="s">
        <v>192</v>
      </c>
    </row>
    <row r="200" spans="1:28" x14ac:dyDescent="0.3">
      <c r="A200" t="s">
        <v>2804</v>
      </c>
      <c r="B200" t="s">
        <v>2022</v>
      </c>
      <c r="C200" t="s">
        <v>825</v>
      </c>
      <c r="D200" t="s">
        <v>44</v>
      </c>
      <c r="E200" s="1">
        <v>46055</v>
      </c>
      <c r="F200">
        <v>1</v>
      </c>
      <c r="G200">
        <v>1</v>
      </c>
      <c r="H200">
        <v>10</v>
      </c>
      <c r="I200">
        <v>4</v>
      </c>
      <c r="J200" t="s">
        <v>240</v>
      </c>
      <c r="K200" t="s">
        <v>2473</v>
      </c>
      <c r="L200" t="s">
        <v>2802</v>
      </c>
      <c r="M200" s="3" t="str">
        <f>HYPERLINK("https://ovidsp.ovid.com/ovidweb.cgi?T=JS&amp;NEWS=n&amp;CSC=Y&amp;PAGE=toc&amp;D=yrovft&amp;AN=01893704-000000000-00000","https://ovidsp.ovid.com/ovidweb.cgi?T=JS&amp;NEWS=n&amp;CSC=Y&amp;PAGE=toc&amp;D=yrovft&amp;AN=01893704-000000000-00000")</f>
        <v>https://ovidsp.ovid.com/ovidweb.cgi?T=JS&amp;NEWS=n&amp;CSC=Y&amp;PAGE=toc&amp;D=yrovft&amp;AN=01893704-000000000-00000</v>
      </c>
      <c r="N200" t="s">
        <v>2466</v>
      </c>
      <c r="O200" t="s">
        <v>2151</v>
      </c>
      <c r="P200" t="s">
        <v>2431</v>
      </c>
      <c r="Q200">
        <v>1428052</v>
      </c>
      <c r="R200" t="s">
        <v>1277</v>
      </c>
      <c r="S200" t="s">
        <v>84</v>
      </c>
      <c r="T200" t="s">
        <v>2152</v>
      </c>
      <c r="U200" t="s">
        <v>902</v>
      </c>
      <c r="V200" t="b">
        <v>0</v>
      </c>
      <c r="W200" t="s">
        <v>2022</v>
      </c>
      <c r="X200" t="b">
        <v>0</v>
      </c>
      <c r="Y200" t="s">
        <v>2022</v>
      </c>
      <c r="Z200" t="s">
        <v>1351</v>
      </c>
      <c r="AA200" t="s">
        <v>192</v>
      </c>
      <c r="AB200" t="s">
        <v>192</v>
      </c>
    </row>
    <row r="201" spans="1:28" x14ac:dyDescent="0.3">
      <c r="A201" t="s">
        <v>1436</v>
      </c>
      <c r="B201" t="s">
        <v>2022</v>
      </c>
      <c r="C201" t="s">
        <v>1089</v>
      </c>
      <c r="D201" t="s">
        <v>44</v>
      </c>
      <c r="E201" s="1">
        <v>46055</v>
      </c>
      <c r="F201">
        <v>1</v>
      </c>
      <c r="G201">
        <v>1</v>
      </c>
      <c r="H201">
        <v>10</v>
      </c>
      <c r="I201">
        <v>1</v>
      </c>
      <c r="J201" t="s">
        <v>2218</v>
      </c>
      <c r="K201" t="s">
        <v>119</v>
      </c>
      <c r="L201" t="s">
        <v>2919</v>
      </c>
      <c r="M201" s="3" t="str">
        <f>HYPERLINK("https://ovidsp.ovid.com/ovidweb.cgi?T=JS&amp;NEWS=n&amp;CSC=Y&amp;PAGE=toc&amp;D=yrovft&amp;AN=01979360-000000000-00000","https://ovidsp.ovid.com/ovidweb.cgi?T=JS&amp;NEWS=n&amp;CSC=Y&amp;PAGE=toc&amp;D=yrovft&amp;AN=01979360-000000000-00000")</f>
        <v>https://ovidsp.ovid.com/ovidweb.cgi?T=JS&amp;NEWS=n&amp;CSC=Y&amp;PAGE=toc&amp;D=yrovft&amp;AN=01979360-000000000-00000</v>
      </c>
      <c r="N201" t="s">
        <v>2797</v>
      </c>
      <c r="O201" t="s">
        <v>2151</v>
      </c>
      <c r="P201" t="s">
        <v>2431</v>
      </c>
      <c r="Q201">
        <v>1428052</v>
      </c>
      <c r="R201" t="s">
        <v>3113</v>
      </c>
      <c r="S201" t="s">
        <v>84</v>
      </c>
      <c r="T201" t="s">
        <v>2152</v>
      </c>
      <c r="U201" t="s">
        <v>1827</v>
      </c>
      <c r="V201" t="b">
        <v>0</v>
      </c>
      <c r="W201" t="s">
        <v>2022</v>
      </c>
      <c r="X201" t="b">
        <v>0</v>
      </c>
      <c r="Y201" t="s">
        <v>2022</v>
      </c>
      <c r="Z201" t="s">
        <v>1351</v>
      </c>
      <c r="AA201" t="s">
        <v>192</v>
      </c>
      <c r="AB201" t="s">
        <v>192</v>
      </c>
    </row>
    <row r="202" spans="1:28" x14ac:dyDescent="0.3">
      <c r="A202" t="s">
        <v>2340</v>
      </c>
      <c r="B202" t="s">
        <v>199</v>
      </c>
      <c r="C202" t="s">
        <v>863</v>
      </c>
      <c r="D202" t="s">
        <v>44</v>
      </c>
      <c r="E202" s="1">
        <v>46055</v>
      </c>
      <c r="F202">
        <v>28</v>
      </c>
      <c r="G202">
        <v>1</v>
      </c>
      <c r="H202">
        <v>39</v>
      </c>
      <c r="I202">
        <v>2</v>
      </c>
      <c r="J202" t="s">
        <v>2585</v>
      </c>
      <c r="K202" t="s">
        <v>1959</v>
      </c>
      <c r="L202" t="s">
        <v>712</v>
      </c>
      <c r="M202" s="3" t="str">
        <f>HYPERLINK("https://ovidsp.ovid.com/ovidweb.cgi?T=JS&amp;NEWS=n&amp;CSC=Y&amp;PAGE=toc&amp;D=yrovft&amp;AN=01720610-000000000-00000","https://ovidsp.ovid.com/ovidweb.cgi?T=JS&amp;NEWS=n&amp;CSC=Y&amp;PAGE=toc&amp;D=yrovft&amp;AN=01720610-000000000-00000")</f>
        <v>https://ovidsp.ovid.com/ovidweb.cgi?T=JS&amp;NEWS=n&amp;CSC=Y&amp;PAGE=toc&amp;D=yrovft&amp;AN=01720610-000000000-00000</v>
      </c>
      <c r="N202" t="s">
        <v>730</v>
      </c>
      <c r="O202" t="s">
        <v>2151</v>
      </c>
      <c r="P202" t="s">
        <v>2431</v>
      </c>
      <c r="Q202">
        <v>1428052</v>
      </c>
      <c r="R202" t="s">
        <v>552</v>
      </c>
      <c r="S202" t="s">
        <v>84</v>
      </c>
      <c r="T202" t="s">
        <v>2152</v>
      </c>
      <c r="U202" t="s">
        <v>845</v>
      </c>
      <c r="V202" t="b">
        <v>1</v>
      </c>
      <c r="W202" t="s">
        <v>2874</v>
      </c>
      <c r="X202" t="b">
        <v>0</v>
      </c>
      <c r="Y202" t="s">
        <v>2022</v>
      </c>
      <c r="Z202" t="s">
        <v>1191</v>
      </c>
      <c r="AA202" t="s">
        <v>192</v>
      </c>
      <c r="AB202" t="s">
        <v>192</v>
      </c>
    </row>
    <row r="203" spans="1:28" x14ac:dyDescent="0.3">
      <c r="A203" t="s">
        <v>1811</v>
      </c>
      <c r="B203" t="s">
        <v>16</v>
      </c>
      <c r="C203" t="s">
        <v>1997</v>
      </c>
      <c r="D203" t="s">
        <v>44</v>
      </c>
      <c r="E203" s="1">
        <v>46055</v>
      </c>
      <c r="F203">
        <v>68</v>
      </c>
      <c r="G203">
        <v>1</v>
      </c>
      <c r="H203">
        <v>101</v>
      </c>
      <c r="I203">
        <v>2</v>
      </c>
      <c r="J203" t="s">
        <v>2585</v>
      </c>
      <c r="K203" t="s">
        <v>1959</v>
      </c>
      <c r="L203" t="s">
        <v>712</v>
      </c>
      <c r="M203" s="3" t="str">
        <f>HYPERLINK("https://ovidsp.ovid.com/ovidweb.cgi?T=JS&amp;NEWS=n&amp;CSC=Y&amp;PAGE=toc&amp;D=yrovft&amp;AN=00126334-000000000-00000","https://ovidsp.ovid.com/ovidweb.cgi?T=JS&amp;NEWS=n&amp;CSC=Y&amp;PAGE=toc&amp;D=yrovft&amp;AN=00126334-000000000-00000")</f>
        <v>https://ovidsp.ovid.com/ovidweb.cgi?T=JS&amp;NEWS=n&amp;CSC=Y&amp;PAGE=toc&amp;D=yrovft&amp;AN=00126334-000000000-00000</v>
      </c>
      <c r="N203" t="s">
        <v>1433</v>
      </c>
      <c r="O203" t="s">
        <v>2151</v>
      </c>
      <c r="P203" t="s">
        <v>2431</v>
      </c>
      <c r="Q203">
        <v>1428052</v>
      </c>
      <c r="R203" t="s">
        <v>1499</v>
      </c>
      <c r="S203" t="s">
        <v>84</v>
      </c>
      <c r="T203" t="s">
        <v>2152</v>
      </c>
      <c r="U203" t="s">
        <v>2619</v>
      </c>
      <c r="V203" t="b">
        <v>1</v>
      </c>
      <c r="W203" t="s">
        <v>2344</v>
      </c>
      <c r="X203" t="b">
        <v>0</v>
      </c>
      <c r="Y203" t="s">
        <v>2022</v>
      </c>
      <c r="Z203" t="s">
        <v>3029</v>
      </c>
      <c r="AA203" t="s">
        <v>192</v>
      </c>
      <c r="AB203" t="s">
        <v>192</v>
      </c>
    </row>
    <row r="204" spans="1:28" x14ac:dyDescent="0.3">
      <c r="A204" t="s">
        <v>3046</v>
      </c>
      <c r="B204" t="s">
        <v>1785</v>
      </c>
      <c r="C204" t="s">
        <v>2022</v>
      </c>
      <c r="D204" t="s">
        <v>44</v>
      </c>
      <c r="E204" s="1">
        <v>46055</v>
      </c>
      <c r="F204">
        <v>13</v>
      </c>
      <c r="G204">
        <v>1</v>
      </c>
      <c r="H204">
        <v>17</v>
      </c>
      <c r="I204">
        <v>12</v>
      </c>
      <c r="J204" t="s">
        <v>445</v>
      </c>
      <c r="K204" t="s">
        <v>1959</v>
      </c>
      <c r="L204" t="s">
        <v>360</v>
      </c>
      <c r="M204" s="3" t="str">
        <f>HYPERLINK("https://ovidsp.ovid.com/ovidweb.cgi?T=JS&amp;NEWS=n&amp;CSC=Y&amp;PAGE=toc&amp;D=yrovft&amp;AN=01938924-000000000-00000","https://ovidsp.ovid.com/ovidweb.cgi?T=JS&amp;NEWS=n&amp;CSC=Y&amp;PAGE=toc&amp;D=yrovft&amp;AN=01938924-000000000-00000")</f>
        <v>https://ovidsp.ovid.com/ovidweb.cgi?T=JS&amp;NEWS=n&amp;CSC=Y&amp;PAGE=toc&amp;D=yrovft&amp;AN=01938924-000000000-00000</v>
      </c>
      <c r="N204" t="s">
        <v>220</v>
      </c>
      <c r="O204" t="s">
        <v>2151</v>
      </c>
      <c r="P204" t="s">
        <v>2431</v>
      </c>
      <c r="Q204">
        <v>1428052</v>
      </c>
      <c r="R204" t="s">
        <v>2242</v>
      </c>
      <c r="S204" t="s">
        <v>84</v>
      </c>
      <c r="T204" t="s">
        <v>2152</v>
      </c>
      <c r="U204" t="s">
        <v>1027</v>
      </c>
      <c r="V204" t="b">
        <v>1</v>
      </c>
      <c r="W204" t="s">
        <v>2180</v>
      </c>
      <c r="X204" t="b">
        <v>0</v>
      </c>
      <c r="Y204" t="s">
        <v>2022</v>
      </c>
      <c r="Z204" t="s">
        <v>1825</v>
      </c>
      <c r="AA204" t="s">
        <v>192</v>
      </c>
      <c r="AB204" t="s">
        <v>192</v>
      </c>
    </row>
    <row r="205" spans="1:28" x14ac:dyDescent="0.3">
      <c r="A205" t="s">
        <v>1408</v>
      </c>
      <c r="B205" t="s">
        <v>2022</v>
      </c>
      <c r="C205" t="s">
        <v>2105</v>
      </c>
      <c r="D205" t="s">
        <v>44</v>
      </c>
      <c r="E205" s="1">
        <v>46055</v>
      </c>
      <c r="F205">
        <v>18</v>
      </c>
      <c r="G205">
        <v>3</v>
      </c>
      <c r="H205">
        <v>24</v>
      </c>
      <c r="I205">
        <v>1</v>
      </c>
      <c r="J205" t="s">
        <v>781</v>
      </c>
      <c r="K205" t="s">
        <v>2280</v>
      </c>
      <c r="L205" t="s">
        <v>2919</v>
      </c>
      <c r="M205" s="3" t="str">
        <f>HYPERLINK("https://ovidsp.ovid.com/ovidweb.cgi?T=JS&amp;NEWS=n&amp;CSC=Y&amp;PAGE=toc&amp;D=yrovft&amp;AN=02205615-000000000-00000","https://ovidsp.ovid.com/ovidweb.cgi?T=JS&amp;NEWS=n&amp;CSC=Y&amp;PAGE=toc&amp;D=yrovft&amp;AN=02205615-000000000-00000")</f>
        <v>https://ovidsp.ovid.com/ovidweb.cgi?T=JS&amp;NEWS=n&amp;CSC=Y&amp;PAGE=toc&amp;D=yrovft&amp;AN=02205615-000000000-00000</v>
      </c>
      <c r="N205" t="s">
        <v>2143</v>
      </c>
      <c r="O205" t="s">
        <v>2151</v>
      </c>
      <c r="P205" t="s">
        <v>2431</v>
      </c>
      <c r="Q205">
        <v>1428052</v>
      </c>
      <c r="R205" t="s">
        <v>2529</v>
      </c>
      <c r="S205" t="s">
        <v>84</v>
      </c>
      <c r="T205" t="s">
        <v>2152</v>
      </c>
      <c r="U205" t="s">
        <v>1205</v>
      </c>
      <c r="V205" t="b">
        <v>1</v>
      </c>
      <c r="W205" t="s">
        <v>210</v>
      </c>
      <c r="X205" t="b">
        <v>0</v>
      </c>
      <c r="Y205" t="s">
        <v>2022</v>
      </c>
      <c r="Z205" t="s">
        <v>2022</v>
      </c>
      <c r="AA205" t="s">
        <v>192</v>
      </c>
      <c r="AB205" t="s">
        <v>192</v>
      </c>
    </row>
    <row r="206" spans="1:28" x14ac:dyDescent="0.3">
      <c r="A206" t="s">
        <v>1466</v>
      </c>
      <c r="B206" t="s">
        <v>2022</v>
      </c>
      <c r="C206" t="s">
        <v>915</v>
      </c>
      <c r="D206" t="s">
        <v>44</v>
      </c>
      <c r="E206" s="1">
        <v>46055</v>
      </c>
      <c r="F206">
        <v>18</v>
      </c>
      <c r="G206">
        <v>1</v>
      </c>
      <c r="H206">
        <v>24</v>
      </c>
      <c r="I206">
        <v>1</v>
      </c>
      <c r="J206" t="s">
        <v>1694</v>
      </c>
      <c r="K206" t="s">
        <v>1876</v>
      </c>
      <c r="L206" t="s">
        <v>2919</v>
      </c>
      <c r="M206" s="3" t="str">
        <f>HYPERLINK("https://ovidsp.ovid.com/ovidweb.cgi?T=JS&amp;NEWS=n&amp;CSC=Y&amp;PAGE=toc&amp;D=yrovft&amp;AN=02174543-000000000-00000","https://ovidsp.ovid.com/ovidweb.cgi?T=JS&amp;NEWS=n&amp;CSC=Y&amp;PAGE=toc&amp;D=yrovft&amp;AN=02174543-000000000-00000")</f>
        <v>https://ovidsp.ovid.com/ovidweb.cgi?T=JS&amp;NEWS=n&amp;CSC=Y&amp;PAGE=toc&amp;D=yrovft&amp;AN=02174543-000000000-00000</v>
      </c>
      <c r="N206" t="s">
        <v>2998</v>
      </c>
      <c r="O206" t="s">
        <v>2151</v>
      </c>
      <c r="P206" t="s">
        <v>2431</v>
      </c>
      <c r="Q206">
        <v>1428052</v>
      </c>
      <c r="R206" t="s">
        <v>2538</v>
      </c>
      <c r="S206" t="s">
        <v>84</v>
      </c>
      <c r="T206" t="s">
        <v>2152</v>
      </c>
      <c r="U206" t="s">
        <v>2827</v>
      </c>
      <c r="V206" t="b">
        <v>1</v>
      </c>
      <c r="W206" t="s">
        <v>1847</v>
      </c>
      <c r="X206" t="b">
        <v>0</v>
      </c>
      <c r="Y206" t="s">
        <v>2022</v>
      </c>
      <c r="Z206" t="s">
        <v>2022</v>
      </c>
      <c r="AA206" t="s">
        <v>192</v>
      </c>
      <c r="AB206" t="s">
        <v>192</v>
      </c>
    </row>
    <row r="207" spans="1:28" x14ac:dyDescent="0.3">
      <c r="A207" t="s">
        <v>2206</v>
      </c>
      <c r="B207" t="s">
        <v>2022</v>
      </c>
      <c r="C207" t="s">
        <v>2175</v>
      </c>
      <c r="D207" t="s">
        <v>44</v>
      </c>
      <c r="E207" s="1">
        <v>46055</v>
      </c>
      <c r="F207">
        <v>1</v>
      </c>
      <c r="G207">
        <v>1</v>
      </c>
      <c r="H207">
        <v>16</v>
      </c>
      <c r="I207">
        <v>1</v>
      </c>
      <c r="J207" t="s">
        <v>1907</v>
      </c>
      <c r="K207" t="s">
        <v>1682</v>
      </c>
      <c r="L207" t="s">
        <v>2919</v>
      </c>
      <c r="M207" s="3" t="str">
        <f>HYPERLINK("https://ovidsp.ovid.com/ovidweb.cgi?T=JS&amp;NEWS=n&amp;CSC=Y&amp;PAGE=toc&amp;D=yrovft&amp;AN=01709767-000000000-00000","https://ovidsp.ovid.com/ovidweb.cgi?T=JS&amp;NEWS=n&amp;CSC=Y&amp;PAGE=toc&amp;D=yrovft&amp;AN=01709767-000000000-00000")</f>
        <v>https://ovidsp.ovid.com/ovidweb.cgi?T=JS&amp;NEWS=n&amp;CSC=Y&amp;PAGE=toc&amp;D=yrovft&amp;AN=01709767-000000000-00000</v>
      </c>
      <c r="N207" t="s">
        <v>3015</v>
      </c>
      <c r="O207" t="s">
        <v>2151</v>
      </c>
      <c r="P207" t="s">
        <v>2431</v>
      </c>
      <c r="Q207">
        <v>1428052</v>
      </c>
      <c r="R207" t="s">
        <v>3133</v>
      </c>
      <c r="S207" t="s">
        <v>84</v>
      </c>
      <c r="T207" t="s">
        <v>2152</v>
      </c>
      <c r="U207" t="s">
        <v>833</v>
      </c>
      <c r="V207" t="b">
        <v>0</v>
      </c>
      <c r="W207" t="s">
        <v>2022</v>
      </c>
      <c r="X207" t="b">
        <v>0</v>
      </c>
      <c r="Y207" t="s">
        <v>2022</v>
      </c>
      <c r="Z207" t="s">
        <v>1351</v>
      </c>
      <c r="AA207" t="s">
        <v>192</v>
      </c>
      <c r="AB207" t="s">
        <v>192</v>
      </c>
    </row>
    <row r="208" spans="1:28" x14ac:dyDescent="0.3">
      <c r="A208" t="s">
        <v>312</v>
      </c>
      <c r="B208" t="s">
        <v>2022</v>
      </c>
      <c r="C208" t="s">
        <v>3056</v>
      </c>
      <c r="D208" t="s">
        <v>44</v>
      </c>
      <c r="E208" s="1">
        <v>46055</v>
      </c>
      <c r="F208">
        <v>1</v>
      </c>
      <c r="G208">
        <v>1</v>
      </c>
      <c r="H208">
        <v>16</v>
      </c>
      <c r="I208">
        <v>1</v>
      </c>
      <c r="J208" t="s">
        <v>3107</v>
      </c>
      <c r="K208" t="s">
        <v>835</v>
      </c>
      <c r="L208" t="s">
        <v>2919</v>
      </c>
      <c r="M208" s="3" t="str">
        <f>HYPERLINK("https://ovidsp.ovid.com/ovidweb.cgi?T=JS&amp;NEWS=n&amp;CSC=Y&amp;PAGE=toc&amp;D=yrovft&amp;AN=01709766-000000000-00000","https://ovidsp.ovid.com/ovidweb.cgi?T=JS&amp;NEWS=n&amp;CSC=Y&amp;PAGE=toc&amp;D=yrovft&amp;AN=01709766-000000000-00000")</f>
        <v>https://ovidsp.ovid.com/ovidweb.cgi?T=JS&amp;NEWS=n&amp;CSC=Y&amp;PAGE=toc&amp;D=yrovft&amp;AN=01709766-000000000-00000</v>
      </c>
      <c r="N208" t="s">
        <v>2009</v>
      </c>
      <c r="O208" t="s">
        <v>2151</v>
      </c>
      <c r="P208" t="s">
        <v>2431</v>
      </c>
      <c r="Q208">
        <v>1428052</v>
      </c>
      <c r="R208" t="s">
        <v>1943</v>
      </c>
      <c r="S208" t="s">
        <v>84</v>
      </c>
      <c r="T208" t="s">
        <v>2152</v>
      </c>
      <c r="U208" t="s">
        <v>3159</v>
      </c>
      <c r="V208" t="b">
        <v>0</v>
      </c>
      <c r="W208" t="s">
        <v>2022</v>
      </c>
      <c r="X208" t="b">
        <v>0</v>
      </c>
      <c r="Y208" t="s">
        <v>2022</v>
      </c>
      <c r="Z208" t="s">
        <v>1351</v>
      </c>
      <c r="AA208" t="s">
        <v>192</v>
      </c>
      <c r="AB208" t="s">
        <v>192</v>
      </c>
    </row>
    <row r="209" spans="1:28" x14ac:dyDescent="0.3">
      <c r="A209" t="s">
        <v>1542</v>
      </c>
      <c r="B209" t="s">
        <v>2022</v>
      </c>
      <c r="C209" t="s">
        <v>623</v>
      </c>
      <c r="D209" t="s">
        <v>44</v>
      </c>
      <c r="E209" s="1">
        <v>46055</v>
      </c>
      <c r="F209">
        <v>1</v>
      </c>
      <c r="G209">
        <v>1</v>
      </c>
      <c r="H209">
        <v>14</v>
      </c>
      <c r="I209">
        <v>1</v>
      </c>
      <c r="J209" t="s">
        <v>1767</v>
      </c>
      <c r="K209" t="s">
        <v>1232</v>
      </c>
      <c r="L209" t="s">
        <v>2919</v>
      </c>
      <c r="M209" s="3" t="str">
        <f>HYPERLINK("https://ovidsp.ovid.com/ovidweb.cgi?T=JS&amp;NEWS=n&amp;CSC=Y&amp;PAGE=toc&amp;D=yrovft&amp;AN=01932788-000000000-00000","https://ovidsp.ovid.com/ovidweb.cgi?T=JS&amp;NEWS=n&amp;CSC=Y&amp;PAGE=toc&amp;D=yrovft&amp;AN=01932788-000000000-00000")</f>
        <v>https://ovidsp.ovid.com/ovidweb.cgi?T=JS&amp;NEWS=n&amp;CSC=Y&amp;PAGE=toc&amp;D=yrovft&amp;AN=01932788-000000000-00000</v>
      </c>
      <c r="N209" t="s">
        <v>3057</v>
      </c>
      <c r="O209" t="s">
        <v>2151</v>
      </c>
      <c r="P209" t="s">
        <v>2431</v>
      </c>
      <c r="Q209">
        <v>1428052</v>
      </c>
      <c r="R209" t="s">
        <v>1994</v>
      </c>
      <c r="S209" t="s">
        <v>84</v>
      </c>
      <c r="T209" t="s">
        <v>2152</v>
      </c>
      <c r="U209" t="s">
        <v>2511</v>
      </c>
      <c r="V209" t="b">
        <v>0</v>
      </c>
      <c r="W209" t="s">
        <v>2022</v>
      </c>
      <c r="X209" t="b">
        <v>0</v>
      </c>
      <c r="Y209" t="s">
        <v>2022</v>
      </c>
      <c r="Z209" t="s">
        <v>2196</v>
      </c>
      <c r="AA209" t="s">
        <v>192</v>
      </c>
      <c r="AB209" t="s">
        <v>192</v>
      </c>
    </row>
    <row r="210" spans="1:28" x14ac:dyDescent="0.3">
      <c r="A210" t="s">
        <v>1492</v>
      </c>
      <c r="B210" t="s">
        <v>2022</v>
      </c>
      <c r="C210" t="s">
        <v>1392</v>
      </c>
      <c r="D210" t="s">
        <v>44</v>
      </c>
      <c r="E210" s="1">
        <v>46055</v>
      </c>
      <c r="F210">
        <v>1</v>
      </c>
      <c r="G210">
        <v>1</v>
      </c>
      <c r="H210">
        <v>11</v>
      </c>
      <c r="I210">
        <v>1</v>
      </c>
      <c r="J210" t="s">
        <v>2782</v>
      </c>
      <c r="K210" t="s">
        <v>2148</v>
      </c>
      <c r="L210" t="s">
        <v>2919</v>
      </c>
      <c r="M210" s="3" t="str">
        <f>HYPERLINK("https://ovidsp.ovid.com/ovidweb.cgi?T=JS&amp;NEWS=n&amp;CSC=Y&amp;PAGE=toc&amp;D=yrovft&amp;AN=01960901-000000000-00000","https://ovidsp.ovid.com/ovidweb.cgi?T=JS&amp;NEWS=n&amp;CSC=Y&amp;PAGE=toc&amp;D=yrovft&amp;AN=01960901-000000000-00000")</f>
        <v>https://ovidsp.ovid.com/ovidweb.cgi?T=JS&amp;NEWS=n&amp;CSC=Y&amp;PAGE=toc&amp;D=yrovft&amp;AN=01960901-000000000-00000</v>
      </c>
      <c r="N210" t="s">
        <v>799</v>
      </c>
      <c r="O210" t="s">
        <v>2151</v>
      </c>
      <c r="P210" t="s">
        <v>2431</v>
      </c>
      <c r="Q210">
        <v>1428052</v>
      </c>
      <c r="R210" t="s">
        <v>854</v>
      </c>
      <c r="S210" t="s">
        <v>84</v>
      </c>
      <c r="T210" t="s">
        <v>2152</v>
      </c>
      <c r="U210" t="s">
        <v>676</v>
      </c>
      <c r="V210" t="b">
        <v>0</v>
      </c>
      <c r="W210" t="s">
        <v>2022</v>
      </c>
      <c r="X210" t="b">
        <v>0</v>
      </c>
      <c r="Y210" t="s">
        <v>2022</v>
      </c>
      <c r="Z210" t="s">
        <v>1351</v>
      </c>
      <c r="AA210" t="s">
        <v>192</v>
      </c>
      <c r="AB210" t="s">
        <v>192</v>
      </c>
    </row>
    <row r="211" spans="1:28" x14ac:dyDescent="0.3">
      <c r="A211" t="s">
        <v>281</v>
      </c>
      <c r="B211" t="s">
        <v>2022</v>
      </c>
      <c r="C211" t="s">
        <v>2185</v>
      </c>
      <c r="D211" t="s">
        <v>44</v>
      </c>
      <c r="E211" s="1">
        <v>46055</v>
      </c>
      <c r="F211">
        <v>1</v>
      </c>
      <c r="G211">
        <v>1</v>
      </c>
      <c r="H211">
        <v>14</v>
      </c>
      <c r="I211">
        <v>1</v>
      </c>
      <c r="J211" t="s">
        <v>392</v>
      </c>
      <c r="K211" t="s">
        <v>762</v>
      </c>
      <c r="L211" t="s">
        <v>2919</v>
      </c>
      <c r="M211" s="3" t="str">
        <f>HYPERLINK("https://ovidsp.ovid.com/ovidweb.cgi?T=JS&amp;NEWS=n&amp;CSC=Y&amp;PAGE=toc&amp;D=yrovft&amp;AN=01874474-000000000-00000","https://ovidsp.ovid.com/ovidweb.cgi?T=JS&amp;NEWS=n&amp;CSC=Y&amp;PAGE=toc&amp;D=yrovft&amp;AN=01874474-000000000-00000")</f>
        <v>https://ovidsp.ovid.com/ovidweb.cgi?T=JS&amp;NEWS=n&amp;CSC=Y&amp;PAGE=toc&amp;D=yrovft&amp;AN=01874474-000000000-00000</v>
      </c>
      <c r="N211" t="s">
        <v>2551</v>
      </c>
      <c r="O211" t="s">
        <v>2151</v>
      </c>
      <c r="P211" t="s">
        <v>2431</v>
      </c>
      <c r="Q211">
        <v>1428052</v>
      </c>
      <c r="R211" t="s">
        <v>2931</v>
      </c>
      <c r="S211" t="s">
        <v>84</v>
      </c>
      <c r="T211" t="s">
        <v>2152</v>
      </c>
      <c r="U211" t="s">
        <v>1402</v>
      </c>
      <c r="V211" t="b">
        <v>0</v>
      </c>
      <c r="W211" t="s">
        <v>2022</v>
      </c>
      <c r="X211" t="b">
        <v>0</v>
      </c>
      <c r="Y211" t="s">
        <v>2022</v>
      </c>
      <c r="Z211" t="s">
        <v>1351</v>
      </c>
      <c r="AA211" t="s">
        <v>192</v>
      </c>
      <c r="AB211" t="s">
        <v>192</v>
      </c>
    </row>
    <row r="212" spans="1:28" x14ac:dyDescent="0.3">
      <c r="A212" t="s">
        <v>2199</v>
      </c>
      <c r="B212" t="s">
        <v>2022</v>
      </c>
      <c r="C212" t="s">
        <v>3145</v>
      </c>
      <c r="D212" t="s">
        <v>44</v>
      </c>
      <c r="E212" s="1">
        <v>46055</v>
      </c>
      <c r="F212">
        <v>6</v>
      </c>
      <c r="G212">
        <v>0</v>
      </c>
      <c r="H212">
        <v>12</v>
      </c>
      <c r="I212">
        <v>0</v>
      </c>
      <c r="J212" t="s">
        <v>781</v>
      </c>
      <c r="K212" t="s">
        <v>2280</v>
      </c>
      <c r="L212" t="s">
        <v>2919</v>
      </c>
      <c r="M212" s="3" t="str">
        <f>HYPERLINK("https://ovidsp.ovid.com/ovidweb.cgi?T=JS&amp;NEWS=n&amp;CSC=Y&amp;PAGE=toc&amp;D=yrovft&amp;AN=02186170-000000000-00000","https://ovidsp.ovid.com/ovidweb.cgi?T=JS&amp;NEWS=n&amp;CSC=Y&amp;PAGE=toc&amp;D=yrovft&amp;AN=02186170-000000000-00000")</f>
        <v>https://ovidsp.ovid.com/ovidweb.cgi?T=JS&amp;NEWS=n&amp;CSC=Y&amp;PAGE=toc&amp;D=yrovft&amp;AN=02186170-000000000-00000</v>
      </c>
      <c r="N212" t="s">
        <v>2595</v>
      </c>
      <c r="O212" t="s">
        <v>2151</v>
      </c>
      <c r="P212" t="s">
        <v>2431</v>
      </c>
      <c r="Q212">
        <v>1428052</v>
      </c>
      <c r="R212" t="s">
        <v>568</v>
      </c>
      <c r="S212" t="s">
        <v>84</v>
      </c>
      <c r="T212" t="s">
        <v>2152</v>
      </c>
      <c r="U212" t="s">
        <v>3052</v>
      </c>
      <c r="V212" t="b">
        <v>0</v>
      </c>
      <c r="W212" t="s">
        <v>2022</v>
      </c>
      <c r="X212" t="b">
        <v>0</v>
      </c>
      <c r="Y212" t="s">
        <v>2022</v>
      </c>
      <c r="Z212" t="s">
        <v>1351</v>
      </c>
      <c r="AA212" t="s">
        <v>192</v>
      </c>
      <c r="AB212" t="s">
        <v>192</v>
      </c>
    </row>
    <row r="213" spans="1:28" x14ac:dyDescent="0.3">
      <c r="A213" t="s">
        <v>2793</v>
      </c>
      <c r="B213" t="s">
        <v>2022</v>
      </c>
      <c r="C213" t="s">
        <v>2435</v>
      </c>
      <c r="D213" t="s">
        <v>44</v>
      </c>
      <c r="E213" s="1">
        <v>46055</v>
      </c>
      <c r="F213">
        <v>1</v>
      </c>
      <c r="G213">
        <v>0</v>
      </c>
      <c r="H213">
        <v>2</v>
      </c>
      <c r="I213">
        <v>1</v>
      </c>
      <c r="J213" t="s">
        <v>217</v>
      </c>
      <c r="K213" t="s">
        <v>1203</v>
      </c>
      <c r="L213" t="s">
        <v>2365</v>
      </c>
      <c r="M213" s="3" t="str">
        <f>HYPERLINK("https://ovidsp.ovid.com/ovidweb.cgi?T=JS&amp;NEWS=n&amp;CSC=Y&amp;PAGE=toc&amp;D=yrovft&amp;AN=02275438-000000000-00000","https://ovidsp.ovid.com/ovidweb.cgi?T=JS&amp;NEWS=n&amp;CSC=Y&amp;PAGE=toc&amp;D=yrovft&amp;AN=02275438-000000000-00000")</f>
        <v>https://ovidsp.ovid.com/ovidweb.cgi?T=JS&amp;NEWS=n&amp;CSC=Y&amp;PAGE=toc&amp;D=yrovft&amp;AN=02275438-000000000-00000</v>
      </c>
      <c r="N213" t="s">
        <v>1737</v>
      </c>
      <c r="O213" t="s">
        <v>2151</v>
      </c>
      <c r="P213" t="s">
        <v>2431</v>
      </c>
      <c r="Q213">
        <v>1428052</v>
      </c>
      <c r="R213" t="s">
        <v>333</v>
      </c>
      <c r="S213" t="s">
        <v>84</v>
      </c>
      <c r="T213" t="s">
        <v>2152</v>
      </c>
      <c r="U213" t="s">
        <v>803</v>
      </c>
      <c r="V213" t="b">
        <v>0</v>
      </c>
      <c r="W213" t="s">
        <v>2022</v>
      </c>
      <c r="X213" t="b">
        <v>0</v>
      </c>
      <c r="Y213" t="s">
        <v>2022</v>
      </c>
      <c r="Z213" t="s">
        <v>2022</v>
      </c>
      <c r="AA213" t="s">
        <v>192</v>
      </c>
      <c r="AB213" t="s">
        <v>192</v>
      </c>
    </row>
    <row r="214" spans="1:28" x14ac:dyDescent="0.3">
      <c r="A214" t="s">
        <v>1032</v>
      </c>
      <c r="B214" t="s">
        <v>2831</v>
      </c>
      <c r="C214" t="s">
        <v>2977</v>
      </c>
      <c r="D214" t="s">
        <v>44</v>
      </c>
      <c r="E214" s="1">
        <v>46055</v>
      </c>
      <c r="F214">
        <v>21</v>
      </c>
      <c r="G214">
        <v>1</v>
      </c>
      <c r="H214">
        <v>32</v>
      </c>
      <c r="I214" t="s">
        <v>1502</v>
      </c>
      <c r="J214" t="s">
        <v>672</v>
      </c>
      <c r="K214" t="s">
        <v>1959</v>
      </c>
      <c r="L214" t="s">
        <v>2919</v>
      </c>
      <c r="M214" s="3" t="str">
        <f>HYPERLINK("https://ovidsp.ovid.com/ovidweb.cgi?T=JS&amp;NEWS=n&amp;CSC=Y&amp;PAGE=toc&amp;D=yrovft&amp;AN=00124743-000000000-00000","https://ovidsp.ovid.com/ovidweb.cgi?T=JS&amp;NEWS=n&amp;CSC=Y&amp;PAGE=toc&amp;D=yrovft&amp;AN=00124743-000000000-00000")</f>
        <v>https://ovidsp.ovid.com/ovidweb.cgi?T=JS&amp;NEWS=n&amp;CSC=Y&amp;PAGE=toc&amp;D=yrovft&amp;AN=00124743-000000000-00000</v>
      </c>
      <c r="N214" t="s">
        <v>1143</v>
      </c>
      <c r="O214" t="s">
        <v>2151</v>
      </c>
      <c r="P214" t="s">
        <v>2431</v>
      </c>
      <c r="Q214">
        <v>1428052</v>
      </c>
      <c r="R214" t="s">
        <v>22</v>
      </c>
      <c r="S214" t="s">
        <v>84</v>
      </c>
      <c r="T214" t="s">
        <v>2152</v>
      </c>
      <c r="U214" t="s">
        <v>2155</v>
      </c>
      <c r="V214" t="b">
        <v>1</v>
      </c>
      <c r="W214" t="s">
        <v>2575</v>
      </c>
      <c r="X214" t="b">
        <v>0</v>
      </c>
      <c r="Y214" t="s">
        <v>2022</v>
      </c>
      <c r="Z214" t="s">
        <v>1351</v>
      </c>
      <c r="AA214" t="s">
        <v>192</v>
      </c>
      <c r="AB214" t="s">
        <v>192</v>
      </c>
    </row>
    <row r="215" spans="1:28" x14ac:dyDescent="0.3">
      <c r="A215" t="s">
        <v>642</v>
      </c>
      <c r="B215" t="s">
        <v>1306</v>
      </c>
      <c r="C215" t="s">
        <v>886</v>
      </c>
      <c r="D215" t="s">
        <v>44</v>
      </c>
      <c r="E215" s="1">
        <v>46055</v>
      </c>
      <c r="F215">
        <v>45</v>
      </c>
      <c r="G215">
        <v>1</v>
      </c>
      <c r="H215">
        <v>56</v>
      </c>
      <c r="I215">
        <v>2</v>
      </c>
      <c r="J215" t="s">
        <v>2585</v>
      </c>
      <c r="K215" t="s">
        <v>1959</v>
      </c>
      <c r="L215" t="s">
        <v>712</v>
      </c>
      <c r="M215" s="3" t="str">
        <f>HYPERLINK("https://ovidsp.ovid.com/ovidweb.cgi?T=JS&amp;NEWS=n&amp;CSC=Y&amp;PAGE=toc&amp;D=yrovft&amp;AN=00005110-000000000-00000","https://ovidsp.ovid.com/ovidweb.cgi?T=JS&amp;NEWS=n&amp;CSC=Y&amp;PAGE=toc&amp;D=yrovft&amp;AN=00005110-000000000-00000")</f>
        <v>https://ovidsp.ovid.com/ovidweb.cgi?T=JS&amp;NEWS=n&amp;CSC=Y&amp;PAGE=toc&amp;D=yrovft&amp;AN=00005110-000000000-00000</v>
      </c>
      <c r="N215" t="s">
        <v>584</v>
      </c>
      <c r="O215" t="s">
        <v>2151</v>
      </c>
      <c r="P215" t="s">
        <v>2431</v>
      </c>
      <c r="Q215">
        <v>1428052</v>
      </c>
      <c r="R215" t="s">
        <v>1738</v>
      </c>
      <c r="S215" t="s">
        <v>84</v>
      </c>
      <c r="T215" t="s">
        <v>2152</v>
      </c>
      <c r="U215" t="s">
        <v>2058</v>
      </c>
      <c r="V215" t="b">
        <v>0</v>
      </c>
      <c r="W215" t="s">
        <v>2022</v>
      </c>
      <c r="X215" t="b">
        <v>0</v>
      </c>
      <c r="Y215" t="s">
        <v>2022</v>
      </c>
      <c r="Z215" t="s">
        <v>478</v>
      </c>
      <c r="AA215" t="s">
        <v>192</v>
      </c>
      <c r="AB215" t="s">
        <v>192</v>
      </c>
    </row>
    <row r="216" spans="1:28" x14ac:dyDescent="0.3">
      <c r="A216" t="s">
        <v>1389</v>
      </c>
      <c r="B216" t="s">
        <v>1022</v>
      </c>
      <c r="C216" t="s">
        <v>1381</v>
      </c>
      <c r="D216" t="s">
        <v>44</v>
      </c>
      <c r="E216" s="1">
        <v>46055</v>
      </c>
      <c r="F216">
        <v>3</v>
      </c>
      <c r="G216">
        <v>1</v>
      </c>
      <c r="H216">
        <v>15</v>
      </c>
      <c r="I216">
        <v>4</v>
      </c>
      <c r="J216" t="s">
        <v>1619</v>
      </c>
      <c r="K216" t="s">
        <v>698</v>
      </c>
      <c r="L216" t="s">
        <v>3017</v>
      </c>
      <c r="M216" s="3" t="str">
        <f>HYPERLINK("https://ovidsp.ovid.com/ovidweb.cgi?T=JS&amp;NEWS=n&amp;CSC=Y&amp;PAGE=toc&amp;D=yrovft&amp;AN=00128488-000000000-00000","https://ovidsp.ovid.com/ovidweb.cgi?T=JS&amp;NEWS=n&amp;CSC=Y&amp;PAGE=toc&amp;D=yrovft&amp;AN=00128488-000000000-00000")</f>
        <v>https://ovidsp.ovid.com/ovidweb.cgi?T=JS&amp;NEWS=n&amp;CSC=Y&amp;PAGE=toc&amp;D=yrovft&amp;AN=00128488-000000000-00000</v>
      </c>
      <c r="N216" t="s">
        <v>1764</v>
      </c>
      <c r="O216" t="s">
        <v>2151</v>
      </c>
      <c r="P216" t="s">
        <v>2431</v>
      </c>
      <c r="Q216">
        <v>1428052</v>
      </c>
      <c r="R216" t="s">
        <v>2825</v>
      </c>
      <c r="S216" t="s">
        <v>84</v>
      </c>
      <c r="T216" t="s">
        <v>2152</v>
      </c>
      <c r="U216" t="s">
        <v>1234</v>
      </c>
      <c r="V216" t="b">
        <v>0</v>
      </c>
      <c r="W216" t="s">
        <v>2022</v>
      </c>
      <c r="X216" t="b">
        <v>0</v>
      </c>
      <c r="Y216" t="s">
        <v>2022</v>
      </c>
      <c r="Z216" t="s">
        <v>478</v>
      </c>
      <c r="AA216" t="s">
        <v>192</v>
      </c>
      <c r="AB216" t="s">
        <v>192</v>
      </c>
    </row>
    <row r="217" spans="1:28" x14ac:dyDescent="0.3">
      <c r="A217" t="s">
        <v>2770</v>
      </c>
      <c r="B217" t="s">
        <v>607</v>
      </c>
      <c r="C217" t="s">
        <v>681</v>
      </c>
      <c r="D217" t="s">
        <v>44</v>
      </c>
      <c r="E217" s="1">
        <v>46055</v>
      </c>
      <c r="F217">
        <v>37</v>
      </c>
      <c r="G217">
        <v>1</v>
      </c>
      <c r="H217">
        <v>47</v>
      </c>
      <c r="I217">
        <v>4</v>
      </c>
      <c r="J217" t="s">
        <v>2269</v>
      </c>
      <c r="K217" t="s">
        <v>1959</v>
      </c>
      <c r="L217" t="s">
        <v>2802</v>
      </c>
      <c r="M217" s="3" t="str">
        <f>HYPERLINK("https://ovidsp.ovid.com/ovidweb.cgi?T=JS&amp;NEWS=n&amp;CSC=Y&amp;PAGE=toc&amp;D=yrovft&amp;AN=01445442-000000000-00000","https://ovidsp.ovid.com/ovidweb.cgi?T=JS&amp;NEWS=n&amp;CSC=Y&amp;PAGE=toc&amp;D=yrovft&amp;AN=01445442-000000000-00000")</f>
        <v>https://ovidsp.ovid.com/ovidweb.cgi?T=JS&amp;NEWS=n&amp;CSC=Y&amp;PAGE=toc&amp;D=yrovft&amp;AN=01445442-000000000-00000</v>
      </c>
      <c r="N217" t="s">
        <v>2313</v>
      </c>
      <c r="O217" t="s">
        <v>2151</v>
      </c>
      <c r="P217" t="s">
        <v>2431</v>
      </c>
      <c r="Q217">
        <v>1428052</v>
      </c>
      <c r="R217" t="s">
        <v>1285</v>
      </c>
      <c r="S217" t="s">
        <v>84</v>
      </c>
      <c r="T217" t="s">
        <v>2152</v>
      </c>
      <c r="U217" t="s">
        <v>3076</v>
      </c>
      <c r="V217" t="b">
        <v>1</v>
      </c>
      <c r="W217" t="s">
        <v>5</v>
      </c>
      <c r="X217" t="b">
        <v>0</v>
      </c>
      <c r="Y217" t="s">
        <v>2022</v>
      </c>
      <c r="Z217" t="s">
        <v>1078</v>
      </c>
      <c r="AA217" t="s">
        <v>192</v>
      </c>
      <c r="AB217" t="s">
        <v>192</v>
      </c>
    </row>
    <row r="218" spans="1:28" x14ac:dyDescent="0.3">
      <c r="A218" t="s">
        <v>3070</v>
      </c>
      <c r="B218" t="s">
        <v>1082</v>
      </c>
      <c r="C218" t="s">
        <v>2725</v>
      </c>
      <c r="D218" t="s">
        <v>44</v>
      </c>
      <c r="E218" s="1">
        <v>46055</v>
      </c>
      <c r="F218">
        <v>31</v>
      </c>
      <c r="G218">
        <v>1</v>
      </c>
      <c r="H218">
        <v>42</v>
      </c>
      <c r="I218">
        <v>1</v>
      </c>
      <c r="J218" t="s">
        <v>672</v>
      </c>
      <c r="K218" t="s">
        <v>1959</v>
      </c>
      <c r="L218" t="s">
        <v>2919</v>
      </c>
      <c r="M218" s="3" t="str">
        <f>HYPERLINK("https://ovidsp.ovid.com/ovidweb.cgi?T=JS&amp;NEWS=n&amp;CSC=Y&amp;PAGE=toc&amp;D=yrovft&amp;AN=01709760-000000000-00000","https://ovidsp.ovid.com/ovidweb.cgi?T=JS&amp;NEWS=n&amp;CSC=Y&amp;PAGE=toc&amp;D=yrovft&amp;AN=01709760-000000000-00000")</f>
        <v>https://ovidsp.ovid.com/ovidweb.cgi?T=JS&amp;NEWS=n&amp;CSC=Y&amp;PAGE=toc&amp;D=yrovft&amp;AN=01709760-000000000-00000</v>
      </c>
      <c r="N218" t="s">
        <v>2302</v>
      </c>
      <c r="O218" t="s">
        <v>2151</v>
      </c>
      <c r="P218" t="s">
        <v>2431</v>
      </c>
      <c r="Q218">
        <v>1428052</v>
      </c>
      <c r="R218" t="s">
        <v>1950</v>
      </c>
      <c r="S218" t="s">
        <v>84</v>
      </c>
      <c r="T218" t="s">
        <v>2152</v>
      </c>
      <c r="U218" t="s">
        <v>491</v>
      </c>
      <c r="V218" t="b">
        <v>1</v>
      </c>
      <c r="W218" t="s">
        <v>194</v>
      </c>
      <c r="X218" t="b">
        <v>0</v>
      </c>
      <c r="Y218" t="s">
        <v>2022</v>
      </c>
      <c r="Z218" t="s">
        <v>2022</v>
      </c>
      <c r="AA218" t="s">
        <v>192</v>
      </c>
      <c r="AB218" t="s">
        <v>192</v>
      </c>
    </row>
    <row r="219" spans="1:28" x14ac:dyDescent="0.3">
      <c r="A219" t="s">
        <v>158</v>
      </c>
      <c r="B219" t="s">
        <v>1024</v>
      </c>
      <c r="C219" t="s">
        <v>993</v>
      </c>
      <c r="D219" t="s">
        <v>44</v>
      </c>
      <c r="E219" s="1">
        <v>46055</v>
      </c>
      <c r="F219">
        <v>1</v>
      </c>
      <c r="G219">
        <v>1</v>
      </c>
      <c r="H219">
        <v>17</v>
      </c>
      <c r="I219">
        <v>1</v>
      </c>
      <c r="J219" t="s">
        <v>1930</v>
      </c>
      <c r="K219" t="s">
        <v>1067</v>
      </c>
      <c r="L219" t="s">
        <v>2919</v>
      </c>
      <c r="M219" s="3" t="str">
        <f>HYPERLINK("https://ovidsp.ovid.com/ovidweb.cgi?T=JS&amp;NEWS=n&amp;CSC=Y&amp;PAGE=toc&amp;D=yrovft&amp;AN=01592394-000000000-00000","https://ovidsp.ovid.com/ovidweb.cgi?T=JS&amp;NEWS=n&amp;CSC=Y&amp;PAGE=toc&amp;D=yrovft&amp;AN=01592394-000000000-00000")</f>
        <v>https://ovidsp.ovid.com/ovidweb.cgi?T=JS&amp;NEWS=n&amp;CSC=Y&amp;PAGE=toc&amp;D=yrovft&amp;AN=01592394-000000000-00000</v>
      </c>
      <c r="N219" t="s">
        <v>2786</v>
      </c>
      <c r="O219" t="s">
        <v>2151</v>
      </c>
      <c r="P219" t="s">
        <v>2431</v>
      </c>
      <c r="Q219">
        <v>1428052</v>
      </c>
      <c r="R219" t="s">
        <v>887</v>
      </c>
      <c r="S219" t="s">
        <v>84</v>
      </c>
      <c r="T219" t="s">
        <v>2152</v>
      </c>
      <c r="U219" t="s">
        <v>696</v>
      </c>
      <c r="V219" t="b">
        <v>1</v>
      </c>
      <c r="W219" t="s">
        <v>2301</v>
      </c>
      <c r="X219" t="b">
        <v>0</v>
      </c>
      <c r="Y219" t="s">
        <v>2022</v>
      </c>
      <c r="Z219" t="s">
        <v>1191</v>
      </c>
      <c r="AA219" t="s">
        <v>192</v>
      </c>
      <c r="AB219" t="s">
        <v>192</v>
      </c>
    </row>
    <row r="220" spans="1:28" x14ac:dyDescent="0.3">
      <c r="A220" t="s">
        <v>1903</v>
      </c>
      <c r="B220" t="s">
        <v>1076</v>
      </c>
      <c r="C220" t="s">
        <v>1179</v>
      </c>
      <c r="D220" t="s">
        <v>44</v>
      </c>
      <c r="E220" s="1">
        <v>46055</v>
      </c>
      <c r="F220">
        <v>9</v>
      </c>
      <c r="G220">
        <v>1</v>
      </c>
      <c r="H220">
        <v>19</v>
      </c>
      <c r="I220">
        <v>6</v>
      </c>
      <c r="J220" t="s">
        <v>2951</v>
      </c>
      <c r="K220" t="s">
        <v>1959</v>
      </c>
      <c r="L220" t="s">
        <v>1124</v>
      </c>
      <c r="M220" s="3" t="str">
        <f>HYPERLINK("https://ovidsp.ovid.com/ovidweb.cgi?T=JS&amp;NEWS=n&amp;CSC=Y&amp;PAGE=toc&amp;D=yrovft&amp;AN=01271255-000000000-00000","https://ovidsp.ovid.com/ovidweb.cgi?T=JS&amp;NEWS=n&amp;CSC=Y&amp;PAGE=toc&amp;D=yrovft&amp;AN=01271255-000000000-00000")</f>
        <v>https://ovidsp.ovid.com/ovidweb.cgi?T=JS&amp;NEWS=n&amp;CSC=Y&amp;PAGE=toc&amp;D=yrovft&amp;AN=01271255-000000000-00000</v>
      </c>
      <c r="N220" t="s">
        <v>2941</v>
      </c>
      <c r="O220" t="s">
        <v>2151</v>
      </c>
      <c r="P220" t="s">
        <v>2431</v>
      </c>
      <c r="Q220">
        <v>1428052</v>
      </c>
      <c r="R220" t="s">
        <v>2630</v>
      </c>
      <c r="S220" t="s">
        <v>84</v>
      </c>
      <c r="T220" t="s">
        <v>2152</v>
      </c>
      <c r="U220" t="s">
        <v>1491</v>
      </c>
      <c r="V220" t="b">
        <v>1</v>
      </c>
      <c r="W220" t="s">
        <v>1723</v>
      </c>
      <c r="X220" t="b">
        <v>0</v>
      </c>
      <c r="Y220" t="s">
        <v>2022</v>
      </c>
      <c r="Z220" t="s">
        <v>2541</v>
      </c>
      <c r="AA220" t="s">
        <v>192</v>
      </c>
      <c r="AB220" t="s">
        <v>192</v>
      </c>
    </row>
    <row r="221" spans="1:28" x14ac:dyDescent="0.3">
      <c r="A221" t="s">
        <v>334</v>
      </c>
      <c r="B221" t="s">
        <v>2002</v>
      </c>
      <c r="C221" t="s">
        <v>2492</v>
      </c>
      <c r="D221" t="s">
        <v>44</v>
      </c>
      <c r="E221" s="1">
        <v>46055</v>
      </c>
      <c r="F221">
        <v>26</v>
      </c>
      <c r="G221">
        <v>1</v>
      </c>
      <c r="H221">
        <v>36</v>
      </c>
      <c r="I221">
        <v>4</v>
      </c>
      <c r="J221" t="s">
        <v>2269</v>
      </c>
      <c r="K221" t="s">
        <v>1959</v>
      </c>
      <c r="L221" t="s">
        <v>2802</v>
      </c>
      <c r="M221" s="3" t="str">
        <f>HYPERLINK("https://ovidsp.ovid.com/ovidweb.cgi?T=JS&amp;NEWS=n&amp;CSC=Y&amp;PAGE=toc&amp;D=yrovft&amp;AN=00060867-000000000-00000","https://ovidsp.ovid.com/ovidweb.cgi?T=JS&amp;NEWS=n&amp;CSC=Y&amp;PAGE=toc&amp;D=yrovft&amp;AN=00060867-000000000-00000")</f>
        <v>https://ovidsp.ovid.com/ovidweb.cgi?T=JS&amp;NEWS=n&amp;CSC=Y&amp;PAGE=toc&amp;D=yrovft&amp;AN=00060867-000000000-00000</v>
      </c>
      <c r="N221" t="s">
        <v>54</v>
      </c>
      <c r="O221" t="s">
        <v>2151</v>
      </c>
      <c r="P221" t="s">
        <v>2431</v>
      </c>
      <c r="Q221">
        <v>1428052</v>
      </c>
      <c r="R221" t="s">
        <v>2234</v>
      </c>
      <c r="S221" t="s">
        <v>84</v>
      </c>
      <c r="T221" t="s">
        <v>2152</v>
      </c>
      <c r="U221" t="s">
        <v>1048</v>
      </c>
      <c r="V221" t="b">
        <v>1</v>
      </c>
      <c r="W221" t="s">
        <v>2123</v>
      </c>
      <c r="X221" t="b">
        <v>0</v>
      </c>
      <c r="Y221" t="s">
        <v>2022</v>
      </c>
      <c r="Z221" t="s">
        <v>2645</v>
      </c>
      <c r="AA221" t="s">
        <v>192</v>
      </c>
      <c r="AB221" t="s">
        <v>192</v>
      </c>
    </row>
    <row r="222" spans="1:28" x14ac:dyDescent="0.3">
      <c r="A222" t="s">
        <v>763</v>
      </c>
      <c r="B222" t="s">
        <v>2022</v>
      </c>
      <c r="C222" t="s">
        <v>2121</v>
      </c>
      <c r="D222" t="s">
        <v>44</v>
      </c>
      <c r="E222" s="1">
        <v>46055</v>
      </c>
      <c r="F222">
        <v>1</v>
      </c>
      <c r="G222">
        <v>1</v>
      </c>
      <c r="H222">
        <v>2</v>
      </c>
      <c r="I222">
        <v>4</v>
      </c>
      <c r="J222" t="s">
        <v>1266</v>
      </c>
      <c r="K222" t="s">
        <v>1743</v>
      </c>
      <c r="L222" t="s">
        <v>2771</v>
      </c>
      <c r="M222" s="3" t="str">
        <f>HYPERLINK("https://ovidsp.ovid.com/ovidweb.cgi?T=JS&amp;NEWS=n&amp;CSC=Y&amp;PAGE=toc&amp;D=yrovft&amp;AN=02274916-000000000-00000","https://ovidsp.ovid.com/ovidweb.cgi?T=JS&amp;NEWS=n&amp;CSC=Y&amp;PAGE=toc&amp;D=yrovft&amp;AN=02274916-000000000-00000")</f>
        <v>https://ovidsp.ovid.com/ovidweb.cgi?T=JS&amp;NEWS=n&amp;CSC=Y&amp;PAGE=toc&amp;D=yrovft&amp;AN=02274916-000000000-00000</v>
      </c>
      <c r="N222" t="s">
        <v>2030</v>
      </c>
      <c r="O222" t="s">
        <v>2151</v>
      </c>
      <c r="P222" t="s">
        <v>2431</v>
      </c>
      <c r="Q222">
        <v>1428052</v>
      </c>
      <c r="R222" t="s">
        <v>2142</v>
      </c>
      <c r="S222" t="s">
        <v>84</v>
      </c>
      <c r="T222" t="s">
        <v>2152</v>
      </c>
      <c r="U222" t="s">
        <v>1472</v>
      </c>
      <c r="V222" t="b">
        <v>1</v>
      </c>
      <c r="W222" t="s">
        <v>703</v>
      </c>
      <c r="X222" t="b">
        <v>0</v>
      </c>
      <c r="Y222" t="s">
        <v>2022</v>
      </c>
      <c r="Z222" t="s">
        <v>2440</v>
      </c>
      <c r="AA222" t="s">
        <v>192</v>
      </c>
      <c r="AB222" t="s">
        <v>192</v>
      </c>
    </row>
    <row r="223" spans="1:28" x14ac:dyDescent="0.3">
      <c r="A223" t="s">
        <v>1197</v>
      </c>
      <c r="B223" t="s">
        <v>3100</v>
      </c>
      <c r="C223" t="s">
        <v>465</v>
      </c>
      <c r="D223" t="s">
        <v>44</v>
      </c>
      <c r="E223" s="1">
        <v>46055</v>
      </c>
      <c r="F223">
        <v>38</v>
      </c>
      <c r="G223">
        <v>1</v>
      </c>
      <c r="H223">
        <v>49</v>
      </c>
      <c r="I223">
        <v>1</v>
      </c>
      <c r="J223" t="s">
        <v>672</v>
      </c>
      <c r="K223" t="s">
        <v>1959</v>
      </c>
      <c r="L223" t="s">
        <v>2919</v>
      </c>
      <c r="M223" s="3" t="str">
        <f>HYPERLINK("https://ovidsp.ovid.com/ovidweb.cgi?T=JS&amp;NEWS=n&amp;CSC=Y&amp;PAGE=toc&amp;D=yrovft&amp;AN=00004479-000000000-00000","https://ovidsp.ovid.com/ovidweb.cgi?T=JS&amp;NEWS=n&amp;CSC=Y&amp;PAGE=toc&amp;D=yrovft&amp;AN=00004479-000000000-00000")</f>
        <v>https://ovidsp.ovid.com/ovidweb.cgi?T=JS&amp;NEWS=n&amp;CSC=Y&amp;PAGE=toc&amp;D=yrovft&amp;AN=00004479-000000000-00000</v>
      </c>
      <c r="N223" t="s">
        <v>1889</v>
      </c>
      <c r="O223" t="s">
        <v>2151</v>
      </c>
      <c r="P223" t="s">
        <v>2431</v>
      </c>
      <c r="Q223">
        <v>1428052</v>
      </c>
      <c r="R223" t="s">
        <v>2515</v>
      </c>
      <c r="S223" t="s">
        <v>84</v>
      </c>
      <c r="T223" t="s">
        <v>2152</v>
      </c>
      <c r="U223" t="s">
        <v>189</v>
      </c>
      <c r="V223" t="b">
        <v>1</v>
      </c>
      <c r="W223" t="s">
        <v>2003</v>
      </c>
      <c r="X223" t="b">
        <v>0</v>
      </c>
      <c r="Y223" t="s">
        <v>2022</v>
      </c>
      <c r="Z223" t="s">
        <v>1838</v>
      </c>
      <c r="AA223" t="s">
        <v>192</v>
      </c>
      <c r="AB223" t="s">
        <v>192</v>
      </c>
    </row>
    <row r="224" spans="1:28" x14ac:dyDescent="0.3">
      <c r="A224" t="s">
        <v>1714</v>
      </c>
      <c r="B224" t="s">
        <v>159</v>
      </c>
      <c r="C224" t="s">
        <v>1583</v>
      </c>
      <c r="D224" t="s">
        <v>44</v>
      </c>
      <c r="E224" s="1">
        <v>46055</v>
      </c>
      <c r="F224">
        <v>97</v>
      </c>
      <c r="G224">
        <v>1</v>
      </c>
      <c r="H224">
        <v>108</v>
      </c>
      <c r="I224">
        <v>2</v>
      </c>
      <c r="J224" t="s">
        <v>2530</v>
      </c>
      <c r="K224" t="s">
        <v>2544</v>
      </c>
      <c r="L224" t="s">
        <v>1836</v>
      </c>
      <c r="M224" s="3" t="str">
        <f>HYPERLINK("https://ovidsp.ovid.com/ovidweb.cgi?T=JS&amp;NEWS=n&amp;CSC=Y&amp;PAGE=toc&amp;D=yrovft&amp;AN=00004623-000000000-00000","https://ovidsp.ovid.com/ovidweb.cgi?T=JS&amp;NEWS=n&amp;CSC=Y&amp;PAGE=toc&amp;D=yrovft&amp;AN=00004623-000000000-00000")</f>
        <v>https://ovidsp.ovid.com/ovidweb.cgi?T=JS&amp;NEWS=n&amp;CSC=Y&amp;PAGE=toc&amp;D=yrovft&amp;AN=00004623-000000000-00000</v>
      </c>
      <c r="N224" t="s">
        <v>1457</v>
      </c>
      <c r="O224" t="s">
        <v>2151</v>
      </c>
      <c r="P224" t="s">
        <v>2431</v>
      </c>
      <c r="Q224">
        <v>1428052</v>
      </c>
      <c r="R224" t="s">
        <v>1437</v>
      </c>
      <c r="S224" t="s">
        <v>84</v>
      </c>
      <c r="T224" t="s">
        <v>2152</v>
      </c>
      <c r="U224" t="s">
        <v>1901</v>
      </c>
      <c r="V224" t="b">
        <v>1</v>
      </c>
      <c r="W224" t="s">
        <v>1137</v>
      </c>
      <c r="X224" t="b">
        <v>0</v>
      </c>
      <c r="Y224" t="s">
        <v>2022</v>
      </c>
      <c r="Z224" t="s">
        <v>1351</v>
      </c>
      <c r="AA224" t="s">
        <v>192</v>
      </c>
      <c r="AB224" t="s">
        <v>192</v>
      </c>
    </row>
    <row r="225" spans="1:28" x14ac:dyDescent="0.3">
      <c r="A225" t="s">
        <v>1864</v>
      </c>
      <c r="B225" t="s">
        <v>3112</v>
      </c>
      <c r="C225" t="s">
        <v>361</v>
      </c>
      <c r="D225" t="s">
        <v>44</v>
      </c>
      <c r="E225" s="1">
        <v>46055</v>
      </c>
      <c r="F225">
        <v>22</v>
      </c>
      <c r="G225">
        <v>1</v>
      </c>
      <c r="H225">
        <v>33</v>
      </c>
      <c r="I225">
        <v>2</v>
      </c>
      <c r="J225" t="s">
        <v>323</v>
      </c>
      <c r="K225" t="s">
        <v>1959</v>
      </c>
      <c r="L225" t="s">
        <v>1837</v>
      </c>
      <c r="M225" s="3" t="str">
        <f>HYPERLINK("https://ovidsp.ovid.com/ovidweb.cgi?T=JS&amp;NEWS=n&amp;CSC=Y&amp;PAGE=toc&amp;D=yrovft&amp;AN=01436970-000000000-00000","https://ovidsp.ovid.com/ovidweb.cgi?T=JS&amp;NEWS=n&amp;CSC=Y&amp;PAGE=toc&amp;D=yrovft&amp;AN=01436970-000000000-00000")</f>
        <v>https://ovidsp.ovid.com/ovidweb.cgi?T=JS&amp;NEWS=n&amp;CSC=Y&amp;PAGE=toc&amp;D=yrovft&amp;AN=01436970-000000000-00000</v>
      </c>
      <c r="N225" t="s">
        <v>976</v>
      </c>
      <c r="O225" t="s">
        <v>2151</v>
      </c>
      <c r="P225" t="s">
        <v>2431</v>
      </c>
      <c r="Q225">
        <v>1428052</v>
      </c>
      <c r="R225" t="s">
        <v>1434</v>
      </c>
      <c r="S225" t="s">
        <v>84</v>
      </c>
      <c r="T225" t="s">
        <v>2152</v>
      </c>
      <c r="U225" t="s">
        <v>1035</v>
      </c>
      <c r="V225" t="b">
        <v>1</v>
      </c>
      <c r="W225" t="s">
        <v>2487</v>
      </c>
      <c r="X225" t="b">
        <v>0</v>
      </c>
      <c r="Y225" t="s">
        <v>2022</v>
      </c>
      <c r="Z225" t="s">
        <v>3148</v>
      </c>
      <c r="AA225" t="s">
        <v>192</v>
      </c>
      <c r="AB225" t="s">
        <v>192</v>
      </c>
    </row>
    <row r="226" spans="1:28" x14ac:dyDescent="0.3">
      <c r="A226" t="s">
        <v>1257</v>
      </c>
      <c r="B226" t="s">
        <v>320</v>
      </c>
      <c r="C226" t="s">
        <v>134</v>
      </c>
      <c r="D226" t="s">
        <v>44</v>
      </c>
      <c r="E226" s="1">
        <v>46055</v>
      </c>
      <c r="F226">
        <v>35</v>
      </c>
      <c r="G226">
        <v>1</v>
      </c>
      <c r="H226">
        <v>46</v>
      </c>
      <c r="I226">
        <v>1</v>
      </c>
      <c r="J226" t="s">
        <v>672</v>
      </c>
      <c r="K226" t="s">
        <v>1959</v>
      </c>
      <c r="L226" t="s">
        <v>2919</v>
      </c>
      <c r="M226" s="3" t="str">
        <f>HYPERLINK("https://ovidsp.ovid.com/ovidweb.cgi?T=JS&amp;NEWS=n&amp;CSC=Y&amp;PAGE=toc&amp;D=yrovft&amp;AN=01273116-000000000-00000","https://ovidsp.ovid.com/ovidweb.cgi?T=JS&amp;NEWS=n&amp;CSC=Y&amp;PAGE=toc&amp;D=yrovft&amp;AN=01273116-000000000-00000")</f>
        <v>https://ovidsp.ovid.com/ovidweb.cgi?T=JS&amp;NEWS=n&amp;CSC=Y&amp;PAGE=toc&amp;D=yrovft&amp;AN=01273116-000000000-00000</v>
      </c>
      <c r="N226" t="s">
        <v>908</v>
      </c>
      <c r="O226" t="s">
        <v>2151</v>
      </c>
      <c r="P226" t="s">
        <v>2431</v>
      </c>
      <c r="Q226">
        <v>1428052</v>
      </c>
      <c r="R226" t="s">
        <v>463</v>
      </c>
      <c r="S226" t="s">
        <v>84</v>
      </c>
      <c r="T226" t="s">
        <v>2152</v>
      </c>
      <c r="U226" t="s">
        <v>1898</v>
      </c>
      <c r="V226" t="b">
        <v>1</v>
      </c>
      <c r="W226" t="s">
        <v>1657</v>
      </c>
      <c r="X226" t="b">
        <v>0</v>
      </c>
      <c r="Y226" t="s">
        <v>2022</v>
      </c>
      <c r="Z226" t="s">
        <v>2930</v>
      </c>
      <c r="AA226" t="s">
        <v>192</v>
      </c>
      <c r="AB226" t="s">
        <v>192</v>
      </c>
    </row>
    <row r="227" spans="1:28" x14ac:dyDescent="0.3">
      <c r="A227" t="s">
        <v>2324</v>
      </c>
      <c r="B227" t="s">
        <v>1919</v>
      </c>
      <c r="C227" t="s">
        <v>2075</v>
      </c>
      <c r="D227" t="s">
        <v>44</v>
      </c>
      <c r="E227" s="1">
        <v>46055</v>
      </c>
      <c r="F227">
        <v>7</v>
      </c>
      <c r="G227">
        <v>1</v>
      </c>
      <c r="H227">
        <v>27</v>
      </c>
      <c r="I227">
        <v>1</v>
      </c>
      <c r="J227" t="s">
        <v>396</v>
      </c>
      <c r="K227" t="s">
        <v>526</v>
      </c>
      <c r="L227" t="s">
        <v>2919</v>
      </c>
      <c r="M227" s="3" t="str">
        <f>HYPERLINK("https://ovidsp.ovid.com/ovidweb.cgi?T=JS&amp;NEWS=n&amp;CSC=Y&amp;PAGE=toc&amp;D=yrovft&amp;AN=01244665-000000000-00000","https://ovidsp.ovid.com/ovidweb.cgi?T=JS&amp;NEWS=n&amp;CSC=Y&amp;PAGE=toc&amp;D=yrovft&amp;AN=01244665-000000000-00000")</f>
        <v>https://ovidsp.ovid.com/ovidweb.cgi?T=JS&amp;NEWS=n&amp;CSC=Y&amp;PAGE=toc&amp;D=yrovft&amp;AN=01244665-000000000-00000</v>
      </c>
      <c r="N227" t="s">
        <v>3101</v>
      </c>
      <c r="O227" t="s">
        <v>2151</v>
      </c>
      <c r="P227" t="s">
        <v>2431</v>
      </c>
      <c r="Q227">
        <v>1428052</v>
      </c>
      <c r="R227" t="s">
        <v>204</v>
      </c>
      <c r="S227" t="s">
        <v>84</v>
      </c>
      <c r="T227" t="s">
        <v>2152</v>
      </c>
      <c r="U227" t="s">
        <v>2790</v>
      </c>
      <c r="V227" t="b">
        <v>1</v>
      </c>
      <c r="W227" t="s">
        <v>1267</v>
      </c>
      <c r="X227" t="b">
        <v>0</v>
      </c>
      <c r="Y227" t="s">
        <v>2022</v>
      </c>
      <c r="Z227" t="s">
        <v>1351</v>
      </c>
      <c r="AA227" t="s">
        <v>192</v>
      </c>
      <c r="AB227" t="s">
        <v>192</v>
      </c>
    </row>
    <row r="228" spans="1:28" x14ac:dyDescent="0.3">
      <c r="A228" t="s">
        <v>2547</v>
      </c>
      <c r="B228" t="s">
        <v>3095</v>
      </c>
      <c r="C228" t="s">
        <v>1005</v>
      </c>
      <c r="D228" t="s">
        <v>44</v>
      </c>
      <c r="E228" s="1">
        <v>46055</v>
      </c>
      <c r="F228">
        <v>30</v>
      </c>
      <c r="G228">
        <v>1</v>
      </c>
      <c r="H228">
        <v>41</v>
      </c>
      <c r="I228">
        <v>1</v>
      </c>
      <c r="J228" t="s">
        <v>672</v>
      </c>
      <c r="K228" t="s">
        <v>1959</v>
      </c>
      <c r="L228" t="s">
        <v>2919</v>
      </c>
      <c r="M228" s="3" t="str">
        <f>HYPERLINK("https://ovidsp.ovid.com/ovidweb.cgi?T=JS&amp;NEWS=n&amp;CSC=Y&amp;PAGE=toc&amp;D=yrovft&amp;AN=00005082-000000000-00000","https://ovidsp.ovid.com/ovidweb.cgi?T=JS&amp;NEWS=n&amp;CSC=Y&amp;PAGE=toc&amp;D=yrovft&amp;AN=00005082-000000000-00000")</f>
        <v>https://ovidsp.ovid.com/ovidweb.cgi?T=JS&amp;NEWS=n&amp;CSC=Y&amp;PAGE=toc&amp;D=yrovft&amp;AN=00005082-000000000-00000</v>
      </c>
      <c r="N228" t="s">
        <v>575</v>
      </c>
      <c r="O228" t="s">
        <v>2151</v>
      </c>
      <c r="P228" t="s">
        <v>2431</v>
      </c>
      <c r="Q228">
        <v>1428052</v>
      </c>
      <c r="R228" t="s">
        <v>2178</v>
      </c>
      <c r="S228" t="s">
        <v>84</v>
      </c>
      <c r="T228" t="s">
        <v>2152</v>
      </c>
      <c r="U228" t="s">
        <v>2457</v>
      </c>
      <c r="V228" t="b">
        <v>1</v>
      </c>
      <c r="W228" t="s">
        <v>2734</v>
      </c>
      <c r="X228" t="b">
        <v>0</v>
      </c>
      <c r="Y228" t="s">
        <v>2022</v>
      </c>
      <c r="Z228" t="s">
        <v>1351</v>
      </c>
      <c r="AA228" t="s">
        <v>192</v>
      </c>
      <c r="AB228" t="s">
        <v>192</v>
      </c>
    </row>
    <row r="229" spans="1:28" x14ac:dyDescent="0.3">
      <c r="A229" t="s">
        <v>252</v>
      </c>
      <c r="B229" t="s">
        <v>2022</v>
      </c>
      <c r="C229" t="s">
        <v>1692</v>
      </c>
      <c r="D229" t="s">
        <v>44</v>
      </c>
      <c r="E229" s="1">
        <v>46055</v>
      </c>
      <c r="F229">
        <v>65</v>
      </c>
      <c r="G229">
        <v>1</v>
      </c>
      <c r="H229">
        <v>87</v>
      </c>
      <c r="I229">
        <v>1</v>
      </c>
      <c r="J229" t="s">
        <v>672</v>
      </c>
      <c r="K229" t="s">
        <v>1959</v>
      </c>
      <c r="L229" t="s">
        <v>2919</v>
      </c>
      <c r="M229" s="3" t="str">
        <f>HYPERLINK("https://ovidsp.ovid.com/ovidweb.cgi?T=JS&amp;NEWS=n&amp;CSC=Y&amp;PAGE=toc&amp;D=yrovft&amp;AN=00005344-000000000-00000","https://ovidsp.ovid.com/ovidweb.cgi?T=JS&amp;NEWS=n&amp;CSC=Y&amp;PAGE=toc&amp;D=yrovft&amp;AN=00005344-000000000-00000")</f>
        <v>https://ovidsp.ovid.com/ovidweb.cgi?T=JS&amp;NEWS=n&amp;CSC=Y&amp;PAGE=toc&amp;D=yrovft&amp;AN=00005344-000000000-00000</v>
      </c>
      <c r="N229" t="s">
        <v>1708</v>
      </c>
      <c r="O229" t="s">
        <v>2151</v>
      </c>
      <c r="P229" t="s">
        <v>2431</v>
      </c>
      <c r="Q229">
        <v>1428052</v>
      </c>
      <c r="R229" t="s">
        <v>2479</v>
      </c>
      <c r="S229" t="s">
        <v>84</v>
      </c>
      <c r="T229" t="s">
        <v>2152</v>
      </c>
      <c r="U229" t="s">
        <v>371</v>
      </c>
      <c r="V229" t="b">
        <v>1</v>
      </c>
      <c r="W229" t="s">
        <v>2072</v>
      </c>
      <c r="X229" t="b">
        <v>0</v>
      </c>
      <c r="Y229" t="s">
        <v>2022</v>
      </c>
      <c r="Z229" t="s">
        <v>1351</v>
      </c>
      <c r="AA229" t="s">
        <v>192</v>
      </c>
      <c r="AB229" t="s">
        <v>192</v>
      </c>
    </row>
    <row r="230" spans="1:28" x14ac:dyDescent="0.3">
      <c r="A230" t="s">
        <v>1208</v>
      </c>
      <c r="B230" t="s">
        <v>2135</v>
      </c>
      <c r="C230" t="s">
        <v>1223</v>
      </c>
      <c r="D230" t="s">
        <v>44</v>
      </c>
      <c r="E230" s="1">
        <v>46055</v>
      </c>
      <c r="F230">
        <v>41</v>
      </c>
      <c r="G230">
        <v>1</v>
      </c>
      <c r="H230">
        <v>52</v>
      </c>
      <c r="I230">
        <v>2</v>
      </c>
      <c r="J230" t="s">
        <v>2585</v>
      </c>
      <c r="K230" t="s">
        <v>1959</v>
      </c>
      <c r="L230" t="s">
        <v>712</v>
      </c>
      <c r="M230" s="3" t="str">
        <f>HYPERLINK("https://ovidsp.ovid.com/ovidweb.cgi?T=JS&amp;NEWS=n&amp;CSC=Y&amp;PAGE=toc&amp;D=yrovft&amp;AN=02158034-000000000-00000","https://ovidsp.ovid.com/ovidweb.cgi?T=JS&amp;NEWS=n&amp;CSC=Y&amp;PAGE=toc&amp;D=yrovft&amp;AN=02158034-000000000-00000")</f>
        <v>https://ovidsp.ovid.com/ovidweb.cgi?T=JS&amp;NEWS=n&amp;CSC=Y&amp;PAGE=toc&amp;D=yrovft&amp;AN=02158034-000000000-00000</v>
      </c>
      <c r="N230" t="s">
        <v>2048</v>
      </c>
      <c r="O230" t="s">
        <v>2151</v>
      </c>
      <c r="P230" t="s">
        <v>2431</v>
      </c>
      <c r="Q230">
        <v>1428052</v>
      </c>
      <c r="R230" t="s">
        <v>700</v>
      </c>
      <c r="S230" t="s">
        <v>84</v>
      </c>
      <c r="T230" t="s">
        <v>2152</v>
      </c>
      <c r="U230" t="s">
        <v>1014</v>
      </c>
      <c r="V230" t="b">
        <v>1</v>
      </c>
      <c r="W230" t="s">
        <v>2321</v>
      </c>
      <c r="X230" t="b">
        <v>0</v>
      </c>
      <c r="Y230" t="s">
        <v>2022</v>
      </c>
      <c r="Z230" t="s">
        <v>1351</v>
      </c>
      <c r="AA230" t="s">
        <v>192</v>
      </c>
      <c r="AB230" t="s">
        <v>192</v>
      </c>
    </row>
    <row r="231" spans="1:28" x14ac:dyDescent="0.3">
      <c r="A231" t="s">
        <v>1160</v>
      </c>
      <c r="B231" t="s">
        <v>2022</v>
      </c>
      <c r="C231" t="s">
        <v>1867</v>
      </c>
      <c r="D231" t="s">
        <v>44</v>
      </c>
      <c r="E231" s="1">
        <v>46055</v>
      </c>
      <c r="F231">
        <v>1</v>
      </c>
      <c r="G231">
        <v>1</v>
      </c>
      <c r="H231">
        <v>14</v>
      </c>
      <c r="I231">
        <v>1</v>
      </c>
      <c r="J231" t="s">
        <v>1805</v>
      </c>
      <c r="K231" t="s">
        <v>943</v>
      </c>
      <c r="L231" t="s">
        <v>2919</v>
      </c>
      <c r="M231" s="3" t="str">
        <f>HYPERLINK("https://ovidsp.ovid.com/ovidweb.cgi?T=JS&amp;NEWS=n&amp;CSC=Y&amp;PAGE=toc&amp;D=yrovft&amp;AN=02158035-000000000-00000","https://ovidsp.ovid.com/ovidweb.cgi?T=JS&amp;NEWS=n&amp;CSC=Y&amp;PAGE=toc&amp;D=yrovft&amp;AN=02158035-000000000-00000")</f>
        <v>https://ovidsp.ovid.com/ovidweb.cgi?T=JS&amp;NEWS=n&amp;CSC=Y&amp;PAGE=toc&amp;D=yrovft&amp;AN=02158035-000000000-00000</v>
      </c>
      <c r="N231" t="s">
        <v>2355</v>
      </c>
      <c r="O231" t="s">
        <v>2151</v>
      </c>
      <c r="P231" t="s">
        <v>2431</v>
      </c>
      <c r="Q231">
        <v>1428052</v>
      </c>
      <c r="R231" t="s">
        <v>363</v>
      </c>
      <c r="S231" t="s">
        <v>84</v>
      </c>
      <c r="T231" t="s">
        <v>2152</v>
      </c>
      <c r="U231" t="s">
        <v>386</v>
      </c>
      <c r="V231" t="b">
        <v>0</v>
      </c>
      <c r="W231" t="s">
        <v>2022</v>
      </c>
      <c r="X231" t="b">
        <v>0</v>
      </c>
      <c r="Y231" t="s">
        <v>2022</v>
      </c>
      <c r="Z231" t="s">
        <v>1351</v>
      </c>
      <c r="AA231" t="s">
        <v>192</v>
      </c>
      <c r="AB231" t="s">
        <v>192</v>
      </c>
    </row>
    <row r="232" spans="1:28" x14ac:dyDescent="0.3">
      <c r="A232" t="s">
        <v>561</v>
      </c>
      <c r="B232" t="s">
        <v>1371</v>
      </c>
      <c r="C232" t="s">
        <v>820</v>
      </c>
      <c r="D232" t="s">
        <v>44</v>
      </c>
      <c r="E232" s="1">
        <v>46055</v>
      </c>
      <c r="F232">
        <v>32</v>
      </c>
      <c r="G232">
        <v>1</v>
      </c>
      <c r="H232">
        <v>43</v>
      </c>
      <c r="I232">
        <v>1</v>
      </c>
      <c r="J232" t="s">
        <v>672</v>
      </c>
      <c r="K232" t="s">
        <v>1959</v>
      </c>
      <c r="L232" t="s">
        <v>2919</v>
      </c>
      <c r="M232" s="3" t="str">
        <f>HYPERLINK("https://ovidsp.ovid.com/ovidweb.cgi?T=JS&amp;NEWS=n&amp;CSC=Y&amp;PAGE=toc&amp;D=yrovft&amp;AN=00005217-000000000-00000","https://ovidsp.ovid.com/ovidweb.cgi?T=JS&amp;NEWS=n&amp;CSC=Y&amp;PAGE=toc&amp;D=yrovft&amp;AN=00005217-000000000-00000")</f>
        <v>https://ovidsp.ovid.com/ovidweb.cgi?T=JS&amp;NEWS=n&amp;CSC=Y&amp;PAGE=toc&amp;D=yrovft&amp;AN=00005217-000000000-00000</v>
      </c>
      <c r="N232" t="s">
        <v>1099</v>
      </c>
      <c r="O232" t="s">
        <v>2151</v>
      </c>
      <c r="P232" t="s">
        <v>2431</v>
      </c>
      <c r="Q232">
        <v>1428052</v>
      </c>
      <c r="R232" t="s">
        <v>2345</v>
      </c>
      <c r="S232" t="s">
        <v>84</v>
      </c>
      <c r="T232" t="s">
        <v>2152</v>
      </c>
      <c r="U232" t="s">
        <v>1323</v>
      </c>
      <c r="V232" t="b">
        <v>1</v>
      </c>
      <c r="W232" t="s">
        <v>38</v>
      </c>
      <c r="X232" t="b">
        <v>0</v>
      </c>
      <c r="Y232" t="s">
        <v>2022</v>
      </c>
      <c r="Z232" t="s">
        <v>478</v>
      </c>
      <c r="AA232" t="s">
        <v>192</v>
      </c>
      <c r="AB232" t="s">
        <v>192</v>
      </c>
    </row>
    <row r="233" spans="1:28" x14ac:dyDescent="0.3">
      <c r="A233" t="s">
        <v>1439</v>
      </c>
      <c r="B233" t="s">
        <v>2826</v>
      </c>
      <c r="C233" t="s">
        <v>1587</v>
      </c>
      <c r="D233" t="s">
        <v>44</v>
      </c>
      <c r="E233" s="1">
        <v>46055</v>
      </c>
      <c r="F233">
        <v>40</v>
      </c>
      <c r="G233">
        <v>1</v>
      </c>
      <c r="H233">
        <v>51</v>
      </c>
      <c r="I233">
        <v>1</v>
      </c>
      <c r="J233" t="s">
        <v>672</v>
      </c>
      <c r="K233" t="s">
        <v>1959</v>
      </c>
      <c r="L233" t="s">
        <v>2919</v>
      </c>
      <c r="M233" s="3" t="str">
        <f>HYPERLINK("https://ovidsp.ovid.com/ovidweb.cgi?T=JS&amp;NEWS=n&amp;CSC=Y&amp;PAGE=toc&amp;D=yrovft&amp;AN=00004669-000000000-00000","https://ovidsp.ovid.com/ovidweb.cgi?T=JS&amp;NEWS=n&amp;CSC=Y&amp;PAGE=toc&amp;D=yrovft&amp;AN=00004669-000000000-00000")</f>
        <v>https://ovidsp.ovid.com/ovidweb.cgi?T=JS&amp;NEWS=n&amp;CSC=Y&amp;PAGE=toc&amp;D=yrovft&amp;AN=00004669-000000000-00000</v>
      </c>
      <c r="N233" t="s">
        <v>822</v>
      </c>
      <c r="O233" t="s">
        <v>2151</v>
      </c>
      <c r="P233" t="s">
        <v>2431</v>
      </c>
      <c r="Q233">
        <v>1428052</v>
      </c>
      <c r="R233" t="s">
        <v>709</v>
      </c>
      <c r="S233" t="s">
        <v>84</v>
      </c>
      <c r="T233" t="s">
        <v>2152</v>
      </c>
      <c r="U233" t="s">
        <v>66</v>
      </c>
      <c r="V233" t="b">
        <v>0</v>
      </c>
      <c r="W233" t="s">
        <v>2022</v>
      </c>
      <c r="X233" t="b">
        <v>0</v>
      </c>
      <c r="Y233" t="s">
        <v>2022</v>
      </c>
      <c r="Z233" t="s">
        <v>1351</v>
      </c>
      <c r="AA233" t="s">
        <v>192</v>
      </c>
      <c r="AB233" t="s">
        <v>192</v>
      </c>
    </row>
    <row r="234" spans="1:28" x14ac:dyDescent="0.3">
      <c r="A234" t="s">
        <v>1343</v>
      </c>
      <c r="B234" t="s">
        <v>2022</v>
      </c>
      <c r="C234" t="s">
        <v>1684</v>
      </c>
      <c r="D234" t="s">
        <v>44</v>
      </c>
      <c r="E234" s="1">
        <v>46055</v>
      </c>
      <c r="F234">
        <v>49</v>
      </c>
      <c r="G234">
        <v>1</v>
      </c>
      <c r="H234">
        <v>60</v>
      </c>
      <c r="I234">
        <v>2</v>
      </c>
      <c r="J234" t="s">
        <v>2585</v>
      </c>
      <c r="K234" t="s">
        <v>1959</v>
      </c>
      <c r="L234" t="s">
        <v>712</v>
      </c>
      <c r="M234" s="3" t="str">
        <f>HYPERLINK("https://ovidsp.ovid.com/ovidweb.cgi?T=JS&amp;NEWS=n&amp;CSC=Y&amp;PAGE=toc&amp;D=yrovft&amp;AN=00004836-000000000-00000","https://ovidsp.ovid.com/ovidweb.cgi?T=JS&amp;NEWS=n&amp;CSC=Y&amp;PAGE=toc&amp;D=yrovft&amp;AN=00004836-000000000-00000")</f>
        <v>https://ovidsp.ovid.com/ovidweb.cgi?T=JS&amp;NEWS=n&amp;CSC=Y&amp;PAGE=toc&amp;D=yrovft&amp;AN=00004836-000000000-00000</v>
      </c>
      <c r="N234" t="s">
        <v>1114</v>
      </c>
      <c r="O234" t="s">
        <v>2151</v>
      </c>
      <c r="P234" t="s">
        <v>2431</v>
      </c>
      <c r="Q234">
        <v>1428052</v>
      </c>
      <c r="R234" t="s">
        <v>357</v>
      </c>
      <c r="S234" t="s">
        <v>84</v>
      </c>
      <c r="T234" t="s">
        <v>2152</v>
      </c>
      <c r="U234" t="s">
        <v>2572</v>
      </c>
      <c r="V234" t="b">
        <v>1</v>
      </c>
      <c r="W234" t="s">
        <v>2305</v>
      </c>
      <c r="X234" t="b">
        <v>0</v>
      </c>
      <c r="Y234" t="s">
        <v>2022</v>
      </c>
      <c r="Z234" t="s">
        <v>2196</v>
      </c>
      <c r="AA234" t="s">
        <v>192</v>
      </c>
      <c r="AB234" t="s">
        <v>192</v>
      </c>
    </row>
    <row r="235" spans="1:28" x14ac:dyDescent="0.3">
      <c r="A235" t="s">
        <v>633</v>
      </c>
      <c r="B235" t="s">
        <v>686</v>
      </c>
      <c r="C235" t="s">
        <v>2729</v>
      </c>
      <c r="D235" t="s">
        <v>44</v>
      </c>
      <c r="E235" s="1">
        <v>46055</v>
      </c>
      <c r="F235">
        <v>16</v>
      </c>
      <c r="G235">
        <v>3</v>
      </c>
      <c r="H235">
        <v>27</v>
      </c>
      <c r="I235">
        <v>2</v>
      </c>
      <c r="J235" t="s">
        <v>1947</v>
      </c>
      <c r="K235" t="s">
        <v>2249</v>
      </c>
      <c r="L235" t="s">
        <v>2771</v>
      </c>
      <c r="M235" s="3" t="str">
        <f>HYPERLINK("https://ovidsp.ovid.com/ovidweb.cgi?T=JS&amp;NEWS=n&amp;CSC=Y&amp;PAGE=toc&amp;D=yrovft&amp;AN=00131402-000000000-00000","https://ovidsp.ovid.com/ovidweb.cgi?T=JS&amp;NEWS=n&amp;CSC=Y&amp;PAGE=toc&amp;D=yrovft&amp;AN=00131402-000000000-00000")</f>
        <v>https://ovidsp.ovid.com/ovidweb.cgi?T=JS&amp;NEWS=n&amp;CSC=Y&amp;PAGE=toc&amp;D=yrovft&amp;AN=00131402-000000000-00000</v>
      </c>
      <c r="N235" t="s">
        <v>2475</v>
      </c>
      <c r="O235" t="s">
        <v>2151</v>
      </c>
      <c r="P235" t="s">
        <v>2431</v>
      </c>
      <c r="Q235">
        <v>1428052</v>
      </c>
      <c r="R235" t="s">
        <v>629</v>
      </c>
      <c r="S235" t="s">
        <v>84</v>
      </c>
      <c r="T235" t="s">
        <v>2152</v>
      </c>
      <c r="U235" t="s">
        <v>1780</v>
      </c>
      <c r="V235" t="b">
        <v>0</v>
      </c>
      <c r="W235" t="s">
        <v>2022</v>
      </c>
      <c r="X235" t="b">
        <v>0</v>
      </c>
      <c r="Y235" t="s">
        <v>2022</v>
      </c>
      <c r="Z235" t="s">
        <v>521</v>
      </c>
      <c r="AA235" t="s">
        <v>192</v>
      </c>
      <c r="AB235" t="s">
        <v>192</v>
      </c>
    </row>
    <row r="236" spans="1:28" x14ac:dyDescent="0.3">
      <c r="A236" t="s">
        <v>1054</v>
      </c>
      <c r="B236" t="s">
        <v>3155</v>
      </c>
      <c r="C236" t="s">
        <v>2110</v>
      </c>
      <c r="D236" t="s">
        <v>44</v>
      </c>
      <c r="E236" s="1">
        <v>46055</v>
      </c>
      <c r="F236">
        <v>32</v>
      </c>
      <c r="G236">
        <v>1</v>
      </c>
      <c r="H236">
        <v>43</v>
      </c>
      <c r="I236">
        <v>1</v>
      </c>
      <c r="J236" t="s">
        <v>2561</v>
      </c>
      <c r="K236" t="s">
        <v>1525</v>
      </c>
      <c r="L236" t="s">
        <v>2919</v>
      </c>
      <c r="M236" s="3" t="str">
        <f>HYPERLINK("https://ovidsp.ovid.com/ovidweb.cgi?T=JS&amp;NEWS=n&amp;CSC=Y&amp;PAGE=toc&amp;D=yrovft&amp;AN=00004691-000000000-00000","https://ovidsp.ovid.com/ovidweb.cgi?T=JS&amp;NEWS=n&amp;CSC=Y&amp;PAGE=toc&amp;D=yrovft&amp;AN=00004691-000000000-00000")</f>
        <v>https://ovidsp.ovid.com/ovidweb.cgi?T=JS&amp;NEWS=n&amp;CSC=Y&amp;PAGE=toc&amp;D=yrovft&amp;AN=00004691-000000000-00000</v>
      </c>
      <c r="N236" t="s">
        <v>2909</v>
      </c>
      <c r="O236" t="s">
        <v>2151</v>
      </c>
      <c r="P236" t="s">
        <v>2431</v>
      </c>
      <c r="Q236">
        <v>1428052</v>
      </c>
      <c r="R236" t="s">
        <v>1726</v>
      </c>
      <c r="S236" t="s">
        <v>84</v>
      </c>
      <c r="T236" t="s">
        <v>2152</v>
      </c>
      <c r="U236" t="s">
        <v>1418</v>
      </c>
      <c r="V236" t="b">
        <v>1</v>
      </c>
      <c r="W236" t="s">
        <v>272</v>
      </c>
      <c r="X236" t="b">
        <v>0</v>
      </c>
      <c r="Y236" t="s">
        <v>2022</v>
      </c>
      <c r="Z236" t="s">
        <v>2914</v>
      </c>
      <c r="AA236" t="s">
        <v>192</v>
      </c>
      <c r="AB236" t="s">
        <v>192</v>
      </c>
    </row>
    <row r="237" spans="1:28" x14ac:dyDescent="0.3">
      <c r="A237" t="s">
        <v>2649</v>
      </c>
      <c r="B237" t="s">
        <v>225</v>
      </c>
      <c r="C237" t="s">
        <v>273</v>
      </c>
      <c r="D237" t="s">
        <v>44</v>
      </c>
      <c r="E237" s="1">
        <v>46055</v>
      </c>
      <c r="F237">
        <v>35</v>
      </c>
      <c r="G237">
        <v>1</v>
      </c>
      <c r="H237">
        <v>46</v>
      </c>
      <c r="I237">
        <v>1</v>
      </c>
      <c r="J237" t="s">
        <v>2561</v>
      </c>
      <c r="K237" t="s">
        <v>1525</v>
      </c>
      <c r="L237" t="s">
        <v>2919</v>
      </c>
      <c r="M237" s="3" t="str">
        <f>HYPERLINK("https://ovidsp.ovid.com/ovidweb.cgi?T=JS&amp;NEWS=n&amp;CSC=Y&amp;PAGE=toc&amp;D=yrovft&amp;AN=00004714-000000000-00000","https://ovidsp.ovid.com/ovidweb.cgi?T=JS&amp;NEWS=n&amp;CSC=Y&amp;PAGE=toc&amp;D=yrovft&amp;AN=00004714-000000000-00000")</f>
        <v>https://ovidsp.ovid.com/ovidweb.cgi?T=JS&amp;NEWS=n&amp;CSC=Y&amp;PAGE=toc&amp;D=yrovft&amp;AN=00004714-000000000-00000</v>
      </c>
      <c r="N237" t="s">
        <v>1341</v>
      </c>
      <c r="O237" t="s">
        <v>2151</v>
      </c>
      <c r="P237" t="s">
        <v>2431</v>
      </c>
      <c r="Q237">
        <v>1428052</v>
      </c>
      <c r="R237" t="s">
        <v>1206</v>
      </c>
      <c r="S237" t="s">
        <v>84</v>
      </c>
      <c r="T237" t="s">
        <v>2152</v>
      </c>
      <c r="U237" t="s">
        <v>2428</v>
      </c>
      <c r="V237" t="b">
        <v>1</v>
      </c>
      <c r="W237" t="s">
        <v>247</v>
      </c>
      <c r="X237" t="b">
        <v>0</v>
      </c>
      <c r="Y237" t="s">
        <v>2022</v>
      </c>
      <c r="Z237" t="s">
        <v>1416</v>
      </c>
      <c r="AA237" t="s">
        <v>192</v>
      </c>
      <c r="AB237" t="s">
        <v>192</v>
      </c>
    </row>
    <row r="238" spans="1:28" x14ac:dyDescent="0.3">
      <c r="A238" t="s">
        <v>929</v>
      </c>
      <c r="B238" t="s">
        <v>2022</v>
      </c>
      <c r="C238" t="s">
        <v>910</v>
      </c>
      <c r="D238" t="s">
        <v>44</v>
      </c>
      <c r="E238" s="1">
        <v>46055</v>
      </c>
      <c r="F238">
        <v>39</v>
      </c>
      <c r="G238">
        <v>1</v>
      </c>
      <c r="H238">
        <v>50</v>
      </c>
      <c r="I238">
        <v>1</v>
      </c>
      <c r="J238" t="s">
        <v>672</v>
      </c>
      <c r="K238" t="s">
        <v>1959</v>
      </c>
      <c r="L238" t="s">
        <v>2919</v>
      </c>
      <c r="M238" s="3" t="str">
        <f>HYPERLINK("https://ovidsp.ovid.com/ovidweb.cgi?T=JS&amp;NEWS=n&amp;CSC=Y&amp;PAGE=toc&amp;D=yrovft&amp;AN=00004728-000000000-00000","https://ovidsp.ovid.com/ovidweb.cgi?T=JS&amp;NEWS=n&amp;CSC=Y&amp;PAGE=toc&amp;D=yrovft&amp;AN=00004728-000000000-00000")</f>
        <v>https://ovidsp.ovid.com/ovidweb.cgi?T=JS&amp;NEWS=n&amp;CSC=Y&amp;PAGE=toc&amp;D=yrovft&amp;AN=00004728-000000000-00000</v>
      </c>
      <c r="N238" t="s">
        <v>127</v>
      </c>
      <c r="O238" t="s">
        <v>2151</v>
      </c>
      <c r="P238" t="s">
        <v>2431</v>
      </c>
      <c r="Q238">
        <v>1428052</v>
      </c>
      <c r="R238" t="s">
        <v>2393</v>
      </c>
      <c r="S238" t="s">
        <v>84</v>
      </c>
      <c r="T238" t="s">
        <v>2152</v>
      </c>
      <c r="U238" t="s">
        <v>2403</v>
      </c>
      <c r="V238" t="b">
        <v>1</v>
      </c>
      <c r="W238" t="s">
        <v>1514</v>
      </c>
      <c r="X238" t="b">
        <v>0</v>
      </c>
      <c r="Y238" t="s">
        <v>2022</v>
      </c>
      <c r="Z238" t="s">
        <v>2196</v>
      </c>
      <c r="AA238" t="s">
        <v>192</v>
      </c>
      <c r="AB238" t="s">
        <v>192</v>
      </c>
    </row>
    <row r="239" spans="1:28" x14ac:dyDescent="0.3">
      <c r="A239" t="s">
        <v>2753</v>
      </c>
      <c r="B239" t="s">
        <v>953</v>
      </c>
      <c r="C239" t="s">
        <v>554</v>
      </c>
      <c r="D239" t="s">
        <v>44</v>
      </c>
      <c r="E239" s="1">
        <v>46055</v>
      </c>
      <c r="F239">
        <v>35</v>
      </c>
      <c r="G239">
        <v>0</v>
      </c>
      <c r="H239">
        <v>45</v>
      </c>
      <c r="I239">
        <v>4</v>
      </c>
      <c r="J239" t="s">
        <v>1546</v>
      </c>
      <c r="K239" t="s">
        <v>1398</v>
      </c>
      <c r="L239" t="s">
        <v>2802</v>
      </c>
      <c r="M239" s="3" t="str">
        <f>HYPERLINK("https://ovidsp.ovid.com/ovidweb.cgi?T=JS&amp;NEWS=n&amp;CSC=Y&amp;PAGE=toc&amp;D=yrovft&amp;AN=00005141-000000000-00000","https://ovidsp.ovid.com/ovidweb.cgi?T=JS&amp;NEWS=n&amp;CSC=Y&amp;PAGE=toc&amp;D=yrovft&amp;AN=00005141-000000000-00000")</f>
        <v>https://ovidsp.ovid.com/ovidweb.cgi?T=JS&amp;NEWS=n&amp;CSC=Y&amp;PAGE=toc&amp;D=yrovft&amp;AN=00005141-000000000-00000</v>
      </c>
      <c r="N239" t="s">
        <v>1193</v>
      </c>
      <c r="O239" t="s">
        <v>2151</v>
      </c>
      <c r="P239" t="s">
        <v>2431</v>
      </c>
      <c r="Q239">
        <v>1428052</v>
      </c>
      <c r="R239" t="s">
        <v>864</v>
      </c>
      <c r="S239" t="s">
        <v>84</v>
      </c>
      <c r="T239" t="s">
        <v>2152</v>
      </c>
      <c r="U239" t="s">
        <v>2097</v>
      </c>
      <c r="V239" t="b">
        <v>1</v>
      </c>
      <c r="W239" t="s">
        <v>1964</v>
      </c>
      <c r="X239" t="b">
        <v>0</v>
      </c>
      <c r="Y239" t="s">
        <v>2022</v>
      </c>
      <c r="Z239" t="s">
        <v>1191</v>
      </c>
      <c r="AA239" t="s">
        <v>192</v>
      </c>
      <c r="AB239" t="s">
        <v>192</v>
      </c>
    </row>
    <row r="240" spans="1:28" x14ac:dyDescent="0.3">
      <c r="A240" t="s">
        <v>1545</v>
      </c>
      <c r="B240" t="s">
        <v>316</v>
      </c>
      <c r="C240" t="s">
        <v>876</v>
      </c>
      <c r="D240" t="s">
        <v>44</v>
      </c>
      <c r="E240" s="1">
        <v>46055</v>
      </c>
      <c r="F240">
        <v>26</v>
      </c>
      <c r="G240">
        <v>1</v>
      </c>
      <c r="H240">
        <v>37</v>
      </c>
      <c r="I240" t="s">
        <v>160</v>
      </c>
      <c r="J240" t="s">
        <v>672</v>
      </c>
      <c r="K240" t="s">
        <v>1959</v>
      </c>
      <c r="L240" t="s">
        <v>2919</v>
      </c>
      <c r="M240" s="3" t="str">
        <f>HYPERLINK("https://ovidsp.ovid.com/ovidweb.cgi?T=JS&amp;NEWS=n&amp;CSC=Y&amp;PAGE=toc&amp;D=yrovft&amp;AN=00001665-000000000-00000","https://ovidsp.ovid.com/ovidweb.cgi?T=JS&amp;NEWS=n&amp;CSC=Y&amp;PAGE=toc&amp;D=yrovft&amp;AN=00001665-000000000-00000")</f>
        <v>https://ovidsp.ovid.com/ovidweb.cgi?T=JS&amp;NEWS=n&amp;CSC=Y&amp;PAGE=toc&amp;D=yrovft&amp;AN=00001665-000000000-00000</v>
      </c>
      <c r="N240" t="s">
        <v>1213</v>
      </c>
      <c r="O240" t="s">
        <v>2151</v>
      </c>
      <c r="P240" t="s">
        <v>2431</v>
      </c>
      <c r="Q240">
        <v>1428052</v>
      </c>
      <c r="R240" t="s">
        <v>502</v>
      </c>
      <c r="S240" t="s">
        <v>84</v>
      </c>
      <c r="T240" t="s">
        <v>2152</v>
      </c>
      <c r="U240" t="s">
        <v>3078</v>
      </c>
      <c r="V240" t="b">
        <v>1</v>
      </c>
      <c r="W240" t="s">
        <v>747</v>
      </c>
      <c r="X240" t="b">
        <v>0</v>
      </c>
      <c r="Y240" t="s">
        <v>2022</v>
      </c>
      <c r="Z240" t="s">
        <v>831</v>
      </c>
      <c r="AA240" t="s">
        <v>192</v>
      </c>
      <c r="AB240" t="s">
        <v>192</v>
      </c>
    </row>
    <row r="241" spans="1:28" x14ac:dyDescent="0.3">
      <c r="A241" t="s">
        <v>1763</v>
      </c>
      <c r="B241" t="s">
        <v>2022</v>
      </c>
      <c r="C241" t="s">
        <v>905</v>
      </c>
      <c r="D241" t="s">
        <v>44</v>
      </c>
      <c r="E241" s="1">
        <v>46055</v>
      </c>
      <c r="F241">
        <v>1</v>
      </c>
      <c r="G241">
        <v>1</v>
      </c>
      <c r="H241">
        <v>3</v>
      </c>
      <c r="I241">
        <v>4</v>
      </c>
      <c r="J241" t="s">
        <v>1996</v>
      </c>
      <c r="K241" t="s">
        <v>94</v>
      </c>
      <c r="L241" t="s">
        <v>2771</v>
      </c>
      <c r="M241" s="3" t="str">
        <f>HYPERLINK("https://ovidsp.ovid.com/ovidweb.cgi?T=JS&amp;NEWS=n&amp;CSC=Y&amp;PAGE=toc&amp;D=yrovft&amp;AN=02273970-000000000-00000","https://ovidsp.ovid.com/ovidweb.cgi?T=JS&amp;NEWS=n&amp;CSC=Y&amp;PAGE=toc&amp;D=yrovft&amp;AN=02273970-000000000-00000")</f>
        <v>https://ovidsp.ovid.com/ovidweb.cgi?T=JS&amp;NEWS=n&amp;CSC=Y&amp;PAGE=toc&amp;D=yrovft&amp;AN=02273970-000000000-00000</v>
      </c>
      <c r="N241" t="s">
        <v>603</v>
      </c>
      <c r="O241" t="s">
        <v>2151</v>
      </c>
      <c r="P241" t="s">
        <v>2431</v>
      </c>
      <c r="Q241">
        <v>1428052</v>
      </c>
      <c r="R241" t="s">
        <v>431</v>
      </c>
      <c r="S241" t="s">
        <v>84</v>
      </c>
      <c r="T241" t="s">
        <v>2152</v>
      </c>
      <c r="U241" t="s">
        <v>826</v>
      </c>
      <c r="V241" t="b">
        <v>0</v>
      </c>
      <c r="W241" t="s">
        <v>2022</v>
      </c>
      <c r="X241" t="b">
        <v>0</v>
      </c>
      <c r="Y241" t="s">
        <v>2022</v>
      </c>
      <c r="Z241" t="s">
        <v>520</v>
      </c>
      <c r="AA241" t="s">
        <v>192</v>
      </c>
      <c r="AB241" t="s">
        <v>192</v>
      </c>
    </row>
    <row r="242" spans="1:28" x14ac:dyDescent="0.3">
      <c r="A242" t="s">
        <v>1445</v>
      </c>
      <c r="B242" t="s">
        <v>1118</v>
      </c>
      <c r="C242" t="s">
        <v>2022</v>
      </c>
      <c r="D242" t="s">
        <v>44</v>
      </c>
      <c r="E242" s="1">
        <v>46055</v>
      </c>
      <c r="F242">
        <v>1</v>
      </c>
      <c r="G242">
        <v>1</v>
      </c>
      <c r="H242">
        <v>19</v>
      </c>
      <c r="I242">
        <v>4</v>
      </c>
      <c r="J242" t="s">
        <v>757</v>
      </c>
      <c r="K242" t="s">
        <v>59</v>
      </c>
      <c r="L242" t="s">
        <v>2802</v>
      </c>
      <c r="M242" s="3" t="str">
        <f>HYPERLINK("https://ovidsp.ovid.com/ovidweb.cgi?T=JS&amp;NEWS=n&amp;CSC=Y&amp;PAGE=toc&amp;D=yrovft&amp;AN=01356735-000000000-00000","https://ovidsp.ovid.com/ovidweb.cgi?T=JS&amp;NEWS=n&amp;CSC=Y&amp;PAGE=toc&amp;D=yrovft&amp;AN=01356735-000000000-00000")</f>
        <v>https://ovidsp.ovid.com/ovidweb.cgi?T=JS&amp;NEWS=n&amp;CSC=Y&amp;PAGE=toc&amp;D=yrovft&amp;AN=01356735-000000000-00000</v>
      </c>
      <c r="N242" t="s">
        <v>2022</v>
      </c>
      <c r="O242" t="s">
        <v>2151</v>
      </c>
      <c r="P242" t="s">
        <v>2431</v>
      </c>
      <c r="Q242">
        <v>1428052</v>
      </c>
      <c r="R242" t="s">
        <v>1028</v>
      </c>
      <c r="S242" t="s">
        <v>84</v>
      </c>
      <c r="T242" t="s">
        <v>2152</v>
      </c>
      <c r="U242" t="s">
        <v>2455</v>
      </c>
      <c r="V242" t="b">
        <v>0</v>
      </c>
      <c r="W242" t="s">
        <v>2022</v>
      </c>
      <c r="X242" t="b">
        <v>0</v>
      </c>
      <c r="Y242" t="s">
        <v>2022</v>
      </c>
      <c r="Z242" t="s">
        <v>2022</v>
      </c>
      <c r="AA242" t="s">
        <v>192</v>
      </c>
      <c r="AB242" t="s">
        <v>192</v>
      </c>
    </row>
    <row r="243" spans="1:28" x14ac:dyDescent="0.3">
      <c r="A243" t="s">
        <v>1844</v>
      </c>
      <c r="B243" t="s">
        <v>2022</v>
      </c>
      <c r="C243" t="s">
        <v>2303</v>
      </c>
      <c r="D243" t="s">
        <v>44</v>
      </c>
      <c r="E243" s="1">
        <v>46055</v>
      </c>
      <c r="F243">
        <v>36</v>
      </c>
      <c r="G243">
        <v>1</v>
      </c>
      <c r="H243">
        <v>46</v>
      </c>
      <c r="I243">
        <v>6</v>
      </c>
      <c r="J243" t="s">
        <v>2951</v>
      </c>
      <c r="K243" t="s">
        <v>1959</v>
      </c>
      <c r="L243" t="s">
        <v>1124</v>
      </c>
      <c r="M243" s="3" t="str">
        <f>HYPERLINK("https://ovidsp.ovid.com/ovidweb.cgi?T=JS&amp;NEWS=n&amp;CSC=Y&amp;PAGE=toc&amp;D=yrovft&amp;AN=00004703-000000000-00000","https://ovidsp.ovid.com/ovidweb.cgi?T=JS&amp;NEWS=n&amp;CSC=Y&amp;PAGE=toc&amp;D=yrovft&amp;AN=00004703-000000000-00000")</f>
        <v>https://ovidsp.ovid.com/ovidweb.cgi?T=JS&amp;NEWS=n&amp;CSC=Y&amp;PAGE=toc&amp;D=yrovft&amp;AN=00004703-000000000-00000</v>
      </c>
      <c r="N243" t="s">
        <v>2625</v>
      </c>
      <c r="O243" t="s">
        <v>2151</v>
      </c>
      <c r="P243" t="s">
        <v>2431</v>
      </c>
      <c r="Q243">
        <v>1428052</v>
      </c>
      <c r="R243" t="s">
        <v>744</v>
      </c>
      <c r="S243" t="s">
        <v>84</v>
      </c>
      <c r="T243" t="s">
        <v>2152</v>
      </c>
      <c r="U243" t="s">
        <v>190</v>
      </c>
      <c r="V243" t="b">
        <v>1</v>
      </c>
      <c r="W243" t="s">
        <v>3025</v>
      </c>
      <c r="X243" t="b">
        <v>0</v>
      </c>
      <c r="Y243" t="s">
        <v>2022</v>
      </c>
      <c r="Z243" t="s">
        <v>768</v>
      </c>
      <c r="AA243" t="s">
        <v>192</v>
      </c>
      <c r="AB243" t="s">
        <v>192</v>
      </c>
    </row>
    <row r="244" spans="1:28" x14ac:dyDescent="0.3">
      <c r="A244" t="s">
        <v>718</v>
      </c>
      <c r="B244" t="s">
        <v>2022</v>
      </c>
      <c r="C244" t="s">
        <v>141</v>
      </c>
      <c r="D244" t="s">
        <v>44</v>
      </c>
      <c r="E244" s="1">
        <v>46055</v>
      </c>
      <c r="F244">
        <v>11</v>
      </c>
      <c r="G244">
        <v>1</v>
      </c>
      <c r="H244">
        <v>21</v>
      </c>
      <c r="I244">
        <v>4</v>
      </c>
      <c r="J244" t="s">
        <v>2269</v>
      </c>
      <c r="K244" t="s">
        <v>1959</v>
      </c>
      <c r="L244" t="s">
        <v>2802</v>
      </c>
      <c r="M244" s="3" t="str">
        <f>HYPERLINK("https://ovidsp.ovid.com/ovidweb.cgi?T=JS&amp;NEWS=n&amp;CSC=Y&amp;PAGE=toc&amp;D=yrovft&amp;AN=01263942-000000000-00000","https://ovidsp.ovid.com/ovidweb.cgi?T=JS&amp;NEWS=n&amp;CSC=Y&amp;PAGE=toc&amp;D=yrovft&amp;AN=01263942-000000000-00000")</f>
        <v>https://ovidsp.ovid.com/ovidweb.cgi?T=JS&amp;NEWS=n&amp;CSC=Y&amp;PAGE=toc&amp;D=yrovft&amp;AN=01263942-000000000-00000</v>
      </c>
      <c r="N244" t="s">
        <v>2759</v>
      </c>
      <c r="O244" t="s">
        <v>2151</v>
      </c>
      <c r="P244" t="s">
        <v>2431</v>
      </c>
      <c r="Q244">
        <v>1428052</v>
      </c>
      <c r="R244" t="s">
        <v>1935</v>
      </c>
      <c r="S244" t="s">
        <v>84</v>
      </c>
      <c r="T244" t="s">
        <v>2152</v>
      </c>
      <c r="U244" t="s">
        <v>143</v>
      </c>
      <c r="V244" t="b">
        <v>1</v>
      </c>
      <c r="W244" t="s">
        <v>560</v>
      </c>
      <c r="X244" t="b">
        <v>0</v>
      </c>
      <c r="Y244" t="s">
        <v>2022</v>
      </c>
      <c r="Z244" t="s">
        <v>478</v>
      </c>
      <c r="AA244" t="s">
        <v>192</v>
      </c>
      <c r="AB244" t="s">
        <v>192</v>
      </c>
    </row>
    <row r="245" spans="1:28" x14ac:dyDescent="0.3">
      <c r="A245" t="s">
        <v>2257</v>
      </c>
      <c r="B245" t="s">
        <v>1649</v>
      </c>
      <c r="C245" t="s">
        <v>1395</v>
      </c>
      <c r="D245" t="s">
        <v>44</v>
      </c>
      <c r="E245" s="1">
        <v>46055</v>
      </c>
      <c r="F245">
        <v>38</v>
      </c>
      <c r="G245">
        <v>1</v>
      </c>
      <c r="H245">
        <v>49</v>
      </c>
      <c r="I245">
        <v>1</v>
      </c>
      <c r="J245" t="s">
        <v>672</v>
      </c>
      <c r="K245" t="s">
        <v>1959</v>
      </c>
      <c r="L245" t="s">
        <v>2919</v>
      </c>
      <c r="M245" s="3" t="str">
        <f>HYPERLINK("https://ovidsp.ovid.com/ovidweb.cgi?T=JS&amp;NEWS=n&amp;CSC=Y&amp;PAGE=toc&amp;D=yrovft&amp;AN=00139143-000000000-00000","https://ovidsp.ovid.com/ovidweb.cgi?T=JS&amp;NEWS=n&amp;CSC=Y&amp;PAGE=toc&amp;D=yrovft&amp;AN=00139143-000000000-00000")</f>
        <v>https://ovidsp.ovid.com/ovidweb.cgi?T=JS&amp;NEWS=n&amp;CSC=Y&amp;PAGE=toc&amp;D=yrovft&amp;AN=00139143-000000000-00000</v>
      </c>
      <c r="N245" t="s">
        <v>587</v>
      </c>
      <c r="O245" t="s">
        <v>2151</v>
      </c>
      <c r="P245" t="s">
        <v>2431</v>
      </c>
      <c r="Q245">
        <v>1428052</v>
      </c>
      <c r="R245" t="s">
        <v>2183</v>
      </c>
      <c r="S245" t="s">
        <v>84</v>
      </c>
      <c r="T245" t="s">
        <v>2152</v>
      </c>
      <c r="U245" t="s">
        <v>1000</v>
      </c>
      <c r="V245" t="b">
        <v>1</v>
      </c>
      <c r="W245" t="s">
        <v>2937</v>
      </c>
      <c r="X245" t="b">
        <v>0</v>
      </c>
      <c r="Y245" t="s">
        <v>2022</v>
      </c>
      <c r="Z245" t="s">
        <v>831</v>
      </c>
      <c r="AA245" t="s">
        <v>192</v>
      </c>
      <c r="AB245" t="s">
        <v>192</v>
      </c>
    </row>
    <row r="246" spans="1:28" x14ac:dyDescent="0.3">
      <c r="A246" t="s">
        <v>935</v>
      </c>
      <c r="B246" t="s">
        <v>1981</v>
      </c>
      <c r="C246" t="s">
        <v>3051</v>
      </c>
      <c r="D246" t="s">
        <v>44</v>
      </c>
      <c r="E246" s="1">
        <v>46055</v>
      </c>
      <c r="F246">
        <v>24</v>
      </c>
      <c r="G246">
        <v>2</v>
      </c>
      <c r="H246">
        <v>35</v>
      </c>
      <c r="I246">
        <v>2</v>
      </c>
      <c r="J246" t="s">
        <v>1878</v>
      </c>
      <c r="K246" t="s">
        <v>1525</v>
      </c>
      <c r="L246" t="s">
        <v>712</v>
      </c>
      <c r="M246" s="3" t="str">
        <f>HYPERLINK("https://ovidsp.ovid.com/ovidweb.cgi?T=JS&amp;NEWS=n&amp;CSC=Y&amp;PAGE=toc&amp;D=yrovft&amp;AN=00061198-000000000-00000","https://ovidsp.ovid.com/ovidweb.cgi?T=JS&amp;NEWS=n&amp;CSC=Y&amp;PAGE=toc&amp;D=yrovft&amp;AN=00061198-000000000-00000")</f>
        <v>https://ovidsp.ovid.com/ovidweb.cgi?T=JS&amp;NEWS=n&amp;CSC=Y&amp;PAGE=toc&amp;D=yrovft&amp;AN=00061198-000000000-00000</v>
      </c>
      <c r="N246" t="s">
        <v>2791</v>
      </c>
      <c r="O246" t="s">
        <v>2151</v>
      </c>
      <c r="P246" t="s">
        <v>2431</v>
      </c>
      <c r="Q246">
        <v>1428052</v>
      </c>
      <c r="R246" t="s">
        <v>2854</v>
      </c>
      <c r="S246" t="s">
        <v>84</v>
      </c>
      <c r="T246" t="s">
        <v>2152</v>
      </c>
      <c r="U246" t="s">
        <v>2037</v>
      </c>
      <c r="V246" t="b">
        <v>1</v>
      </c>
      <c r="W246" t="s">
        <v>137</v>
      </c>
      <c r="X246" t="b">
        <v>0</v>
      </c>
      <c r="Y246" t="s">
        <v>2022</v>
      </c>
      <c r="Z246" t="s">
        <v>831</v>
      </c>
      <c r="AA246" t="s">
        <v>192</v>
      </c>
      <c r="AB246" t="s">
        <v>192</v>
      </c>
    </row>
    <row r="247" spans="1:28" x14ac:dyDescent="0.3">
      <c r="A247" t="s">
        <v>1938</v>
      </c>
      <c r="B247" t="s">
        <v>2022</v>
      </c>
      <c r="C247" t="s">
        <v>1631</v>
      </c>
      <c r="D247" t="s">
        <v>44</v>
      </c>
      <c r="E247" s="1">
        <v>46055</v>
      </c>
      <c r="F247">
        <v>1</v>
      </c>
      <c r="G247">
        <v>1</v>
      </c>
      <c r="H247">
        <v>5</v>
      </c>
      <c r="I247">
        <v>0</v>
      </c>
      <c r="J247" t="s">
        <v>2621</v>
      </c>
      <c r="K247" t="s">
        <v>1941</v>
      </c>
      <c r="L247" t="s">
        <v>360</v>
      </c>
      <c r="M247" s="3" t="str">
        <f>HYPERLINK("https://ovidsp.ovid.com/ovidweb.cgi?T=JS&amp;NEWS=n&amp;CSC=Y&amp;PAGE=toc&amp;D=yrovft&amp;AN=01940646-000000000-00000","https://ovidsp.ovid.com/ovidweb.cgi?T=JS&amp;NEWS=n&amp;CSC=Y&amp;PAGE=toc&amp;D=yrovft&amp;AN=01940646-000000000-00000")</f>
        <v>https://ovidsp.ovid.com/ovidweb.cgi?T=JS&amp;NEWS=n&amp;CSC=Y&amp;PAGE=toc&amp;D=yrovft&amp;AN=01940646-000000000-00000</v>
      </c>
      <c r="N247" t="s">
        <v>2595</v>
      </c>
      <c r="O247" t="s">
        <v>2151</v>
      </c>
      <c r="P247" t="s">
        <v>2431</v>
      </c>
      <c r="Q247">
        <v>1428052</v>
      </c>
      <c r="R247" t="s">
        <v>2580</v>
      </c>
      <c r="S247" t="s">
        <v>84</v>
      </c>
      <c r="T247" t="s">
        <v>2152</v>
      </c>
      <c r="U247" t="s">
        <v>1926</v>
      </c>
      <c r="V247" t="b">
        <v>0</v>
      </c>
      <c r="W247" t="s">
        <v>2022</v>
      </c>
      <c r="X247" t="b">
        <v>0</v>
      </c>
      <c r="Y247" t="s">
        <v>2022</v>
      </c>
      <c r="Z247" t="s">
        <v>1351</v>
      </c>
      <c r="AA247" t="s">
        <v>192</v>
      </c>
      <c r="AB247" t="s">
        <v>192</v>
      </c>
    </row>
    <row r="248" spans="1:28" x14ac:dyDescent="0.3">
      <c r="A248" t="s">
        <v>543</v>
      </c>
      <c r="B248" t="s">
        <v>1344</v>
      </c>
      <c r="C248" t="s">
        <v>2022</v>
      </c>
      <c r="D248" t="s">
        <v>44</v>
      </c>
      <c r="E248" s="1">
        <v>46055</v>
      </c>
      <c r="F248">
        <v>1</v>
      </c>
      <c r="G248">
        <v>1</v>
      </c>
      <c r="H248">
        <v>8</v>
      </c>
      <c r="I248">
        <v>2</v>
      </c>
      <c r="J248" t="s">
        <v>1334</v>
      </c>
      <c r="K248" t="s">
        <v>343</v>
      </c>
      <c r="L248" t="s">
        <v>1803</v>
      </c>
      <c r="M248" s="3" t="str">
        <f>HYPERLINK("https://ovidsp.ovid.com/ovidweb.cgi?T=JS&amp;NEWS=n&amp;CSC=Y&amp;PAGE=toc&amp;D=yrovft&amp;AN=02087401-000000000-00000","https://ovidsp.ovid.com/ovidweb.cgi?T=JS&amp;NEWS=n&amp;CSC=Y&amp;PAGE=toc&amp;D=yrovft&amp;AN=02087401-000000000-00000")</f>
        <v>https://ovidsp.ovid.com/ovidweb.cgi?T=JS&amp;NEWS=n&amp;CSC=Y&amp;PAGE=toc&amp;D=yrovft&amp;AN=02087401-000000000-00000</v>
      </c>
      <c r="N248" t="s">
        <v>3108</v>
      </c>
      <c r="O248" t="s">
        <v>2151</v>
      </c>
      <c r="P248" t="s">
        <v>2431</v>
      </c>
      <c r="Q248">
        <v>1428052</v>
      </c>
      <c r="R248" t="s">
        <v>1776</v>
      </c>
      <c r="S248" t="s">
        <v>84</v>
      </c>
      <c r="T248" t="s">
        <v>2152</v>
      </c>
      <c r="U248" t="s">
        <v>1003</v>
      </c>
      <c r="V248" t="b">
        <v>0</v>
      </c>
      <c r="W248" t="s">
        <v>2022</v>
      </c>
      <c r="X248" t="b">
        <v>0</v>
      </c>
      <c r="Y248" t="s">
        <v>2022</v>
      </c>
      <c r="Z248" t="s">
        <v>1351</v>
      </c>
      <c r="AA248" t="s">
        <v>192</v>
      </c>
      <c r="AB248" t="s">
        <v>192</v>
      </c>
    </row>
    <row r="249" spans="1:28" x14ac:dyDescent="0.3">
      <c r="A249" t="s">
        <v>1833</v>
      </c>
      <c r="B249" t="s">
        <v>1150</v>
      </c>
      <c r="C249" t="s">
        <v>2840</v>
      </c>
      <c r="D249" t="s">
        <v>44</v>
      </c>
      <c r="E249" s="1">
        <v>46055</v>
      </c>
      <c r="F249">
        <v>30</v>
      </c>
      <c r="G249">
        <v>1</v>
      </c>
      <c r="H249">
        <v>41</v>
      </c>
      <c r="I249">
        <v>1</v>
      </c>
      <c r="J249" t="s">
        <v>672</v>
      </c>
      <c r="K249" t="s">
        <v>1959</v>
      </c>
      <c r="L249" t="s">
        <v>2919</v>
      </c>
      <c r="M249" s="3" t="str">
        <f>HYPERLINK("https://ovidsp.ovid.com/ovidweb.cgi?T=JS&amp;NEWS=n&amp;CSC=Y&amp;PAGE=toc&amp;D=yrovft&amp;AN=00001199-000000000-00000","https://ovidsp.ovid.com/ovidweb.cgi?T=JS&amp;NEWS=n&amp;CSC=Y&amp;PAGE=toc&amp;D=yrovft&amp;AN=00001199-000000000-00000")</f>
        <v>https://ovidsp.ovid.com/ovidweb.cgi?T=JS&amp;NEWS=n&amp;CSC=Y&amp;PAGE=toc&amp;D=yrovft&amp;AN=00001199-000000000-00000</v>
      </c>
      <c r="N249" t="s">
        <v>305</v>
      </c>
      <c r="O249" t="s">
        <v>2151</v>
      </c>
      <c r="P249" t="s">
        <v>2431</v>
      </c>
      <c r="Q249">
        <v>1428052</v>
      </c>
      <c r="R249" t="s">
        <v>1010</v>
      </c>
      <c r="S249" t="s">
        <v>84</v>
      </c>
      <c r="T249" t="s">
        <v>2152</v>
      </c>
      <c r="U249" t="s">
        <v>2658</v>
      </c>
      <c r="V249" t="b">
        <v>1</v>
      </c>
      <c r="W249" t="s">
        <v>372</v>
      </c>
      <c r="X249" t="b">
        <v>0</v>
      </c>
      <c r="Y249" t="s">
        <v>2022</v>
      </c>
      <c r="Z249" t="s">
        <v>911</v>
      </c>
      <c r="AA249" t="s">
        <v>192</v>
      </c>
      <c r="AB249" t="s">
        <v>192</v>
      </c>
    </row>
    <row r="250" spans="1:28" x14ac:dyDescent="0.3">
      <c r="A250" t="s">
        <v>1309</v>
      </c>
      <c r="B250" t="s">
        <v>1689</v>
      </c>
      <c r="C250" t="s">
        <v>1616</v>
      </c>
      <c r="D250" t="s">
        <v>44</v>
      </c>
      <c r="E250" s="1">
        <v>46055</v>
      </c>
      <c r="F250">
        <v>60</v>
      </c>
      <c r="G250">
        <v>1</v>
      </c>
      <c r="H250">
        <v>71</v>
      </c>
      <c r="I250">
        <v>1</v>
      </c>
      <c r="J250" t="s">
        <v>672</v>
      </c>
      <c r="K250" t="s">
        <v>1959</v>
      </c>
      <c r="L250" t="s">
        <v>2919</v>
      </c>
      <c r="M250" s="3" t="str">
        <f>HYPERLINK("https://ovidsp.ovid.com/ovidweb.cgi?T=JS&amp;NEWS=n&amp;CSC=Y&amp;PAGE=toc&amp;D=yrovft&amp;AN=00115514-000000000-00000","https://ovidsp.ovid.com/ovidweb.cgi?T=JS&amp;NEWS=n&amp;CSC=Y&amp;PAGE=toc&amp;D=yrovft&amp;AN=00115514-000000000-00000")</f>
        <v>https://ovidsp.ovid.com/ovidweb.cgi?T=JS&amp;NEWS=n&amp;CSC=Y&amp;PAGE=toc&amp;D=yrovft&amp;AN=00115514-000000000-00000</v>
      </c>
      <c r="N250" t="s">
        <v>2494</v>
      </c>
      <c r="O250" t="s">
        <v>2151</v>
      </c>
      <c r="P250" t="s">
        <v>2431</v>
      </c>
      <c r="Q250">
        <v>1428052</v>
      </c>
      <c r="R250" t="s">
        <v>830</v>
      </c>
      <c r="S250" t="s">
        <v>84</v>
      </c>
      <c r="T250" t="s">
        <v>2152</v>
      </c>
      <c r="U250" t="s">
        <v>1826</v>
      </c>
      <c r="V250" t="b">
        <v>0</v>
      </c>
      <c r="W250" t="s">
        <v>2022</v>
      </c>
      <c r="X250" t="b">
        <v>0</v>
      </c>
      <c r="Y250" t="s">
        <v>2022</v>
      </c>
      <c r="Z250" t="s">
        <v>2450</v>
      </c>
      <c r="AA250" t="s">
        <v>192</v>
      </c>
      <c r="AB250" t="s">
        <v>192</v>
      </c>
    </row>
    <row r="251" spans="1:28" x14ac:dyDescent="0.3">
      <c r="A251" t="s">
        <v>2607</v>
      </c>
      <c r="B251" t="s">
        <v>580</v>
      </c>
      <c r="C251" t="s">
        <v>1640</v>
      </c>
      <c r="D251" t="s">
        <v>44</v>
      </c>
      <c r="E251" s="1">
        <v>46055</v>
      </c>
      <c r="F251">
        <v>17</v>
      </c>
      <c r="G251">
        <v>1</v>
      </c>
      <c r="H251">
        <v>28</v>
      </c>
      <c r="I251">
        <v>1</v>
      </c>
      <c r="J251" t="s">
        <v>1878</v>
      </c>
      <c r="K251" t="s">
        <v>1525</v>
      </c>
      <c r="L251" t="s">
        <v>712</v>
      </c>
      <c r="M251" s="3" t="str">
        <f>HYPERLINK("https://ovidsp.ovid.com/ovidweb.cgi?T=JS&amp;NEWS=n&amp;CSC=Y&amp;PAGE=toc&amp;D=yrovft&amp;AN=00129191-000000000-00000","https://ovidsp.ovid.com/ovidweb.cgi?T=JS&amp;NEWS=n&amp;CSC=Y&amp;PAGE=toc&amp;D=yrovft&amp;AN=00129191-000000000-00000")</f>
        <v>https://ovidsp.ovid.com/ovidweb.cgi?T=JS&amp;NEWS=n&amp;CSC=Y&amp;PAGE=toc&amp;D=yrovft&amp;AN=00129191-000000000-00000</v>
      </c>
      <c r="N251" t="s">
        <v>3032</v>
      </c>
      <c r="O251" t="s">
        <v>2151</v>
      </c>
      <c r="P251" t="s">
        <v>2431</v>
      </c>
      <c r="Q251">
        <v>1428052</v>
      </c>
      <c r="R251" t="s">
        <v>2069</v>
      </c>
      <c r="S251" t="s">
        <v>84</v>
      </c>
      <c r="T251" t="s">
        <v>2152</v>
      </c>
      <c r="U251" t="s">
        <v>2373</v>
      </c>
      <c r="V251" t="b">
        <v>1</v>
      </c>
      <c r="W251" t="s">
        <v>735</v>
      </c>
      <c r="X251" t="b">
        <v>0</v>
      </c>
      <c r="Y251" t="s">
        <v>2022</v>
      </c>
      <c r="Z251" t="s">
        <v>2440</v>
      </c>
      <c r="AA251" t="s">
        <v>192</v>
      </c>
      <c r="AB251" t="s">
        <v>192</v>
      </c>
    </row>
    <row r="252" spans="1:28" x14ac:dyDescent="0.3">
      <c r="A252" t="s">
        <v>2596</v>
      </c>
      <c r="B252" t="s">
        <v>123</v>
      </c>
      <c r="C252" t="s">
        <v>493</v>
      </c>
      <c r="D252" t="s">
        <v>44</v>
      </c>
      <c r="E252" s="1">
        <v>46055</v>
      </c>
      <c r="F252">
        <v>33</v>
      </c>
      <c r="G252">
        <v>3</v>
      </c>
      <c r="H252">
        <v>44</v>
      </c>
      <c r="I252">
        <v>3</v>
      </c>
      <c r="J252" t="s">
        <v>1570</v>
      </c>
      <c r="K252" t="s">
        <v>2249</v>
      </c>
      <c r="L252" t="s">
        <v>2441</v>
      </c>
      <c r="M252" s="3" t="str">
        <f>HYPERLINK("https://ovidsp.ovid.com/ovidweb.cgi?T=JS&amp;NEWS=n&amp;CSC=Y&amp;PAGE=toc&amp;D=yrovft&amp;AN=00004872-000000000-00000","https://ovidsp.ovid.com/ovidweb.cgi?T=JS&amp;NEWS=n&amp;CSC=Y&amp;PAGE=toc&amp;D=yrovft&amp;AN=00004872-000000000-00000")</f>
        <v>https://ovidsp.ovid.com/ovidweb.cgi?T=JS&amp;NEWS=n&amp;CSC=Y&amp;PAGE=toc&amp;D=yrovft&amp;AN=00004872-000000000-00000</v>
      </c>
      <c r="N252" t="s">
        <v>1976</v>
      </c>
      <c r="O252" t="s">
        <v>2151</v>
      </c>
      <c r="P252" t="s">
        <v>2431</v>
      </c>
      <c r="Q252">
        <v>1428052</v>
      </c>
      <c r="R252" t="s">
        <v>2172</v>
      </c>
      <c r="S252" t="s">
        <v>84</v>
      </c>
      <c r="T252" t="s">
        <v>2152</v>
      </c>
      <c r="U252" t="s">
        <v>1885</v>
      </c>
      <c r="V252" t="b">
        <v>1</v>
      </c>
      <c r="W252" t="s">
        <v>1675</v>
      </c>
      <c r="X252" t="b">
        <v>0</v>
      </c>
      <c r="Y252" t="s">
        <v>2022</v>
      </c>
      <c r="Z252" t="s">
        <v>1351</v>
      </c>
      <c r="AA252" t="s">
        <v>192</v>
      </c>
      <c r="AB252" t="s">
        <v>192</v>
      </c>
    </row>
    <row r="253" spans="1:28" x14ac:dyDescent="0.3">
      <c r="A253" t="s">
        <v>3115</v>
      </c>
      <c r="B253" t="s">
        <v>2022</v>
      </c>
      <c r="C253" t="s">
        <v>777</v>
      </c>
      <c r="D253" t="s">
        <v>44</v>
      </c>
      <c r="E253" s="1">
        <v>46055</v>
      </c>
      <c r="F253">
        <v>38</v>
      </c>
      <c r="G253">
        <v>1</v>
      </c>
      <c r="H253">
        <v>49</v>
      </c>
      <c r="I253">
        <v>1</v>
      </c>
      <c r="J253" t="s">
        <v>672</v>
      </c>
      <c r="K253" t="s">
        <v>1959</v>
      </c>
      <c r="L253" t="s">
        <v>2919</v>
      </c>
      <c r="M253" s="3" t="str">
        <f>HYPERLINK("https://ovidsp.ovid.com/ovidweb.cgi?T=JS&amp;NEWS=n&amp;CSC=Y&amp;PAGE=toc&amp;D=yrovft&amp;AN=00002371-000000000-00000","https://ovidsp.ovid.com/ovidweb.cgi?T=JS&amp;NEWS=n&amp;CSC=Y&amp;PAGE=toc&amp;D=yrovft&amp;AN=00002371-000000000-00000")</f>
        <v>https://ovidsp.ovid.com/ovidweb.cgi?T=JS&amp;NEWS=n&amp;CSC=Y&amp;PAGE=toc&amp;D=yrovft&amp;AN=00002371-000000000-00000</v>
      </c>
      <c r="N253" t="s">
        <v>1147</v>
      </c>
      <c r="O253" t="s">
        <v>2151</v>
      </c>
      <c r="P253" t="s">
        <v>2431</v>
      </c>
      <c r="Q253">
        <v>1428052</v>
      </c>
      <c r="R253" t="s">
        <v>638</v>
      </c>
      <c r="S253" t="s">
        <v>84</v>
      </c>
      <c r="T253" t="s">
        <v>2152</v>
      </c>
      <c r="U253" t="s">
        <v>433</v>
      </c>
      <c r="V253" t="b">
        <v>1</v>
      </c>
      <c r="W253" t="s">
        <v>2739</v>
      </c>
      <c r="X253" t="b">
        <v>0</v>
      </c>
      <c r="Y253" t="s">
        <v>2022</v>
      </c>
      <c r="Z253" t="s">
        <v>2160</v>
      </c>
      <c r="AA253" t="s">
        <v>192</v>
      </c>
      <c r="AB253" t="s">
        <v>192</v>
      </c>
    </row>
    <row r="254" spans="1:28" x14ac:dyDescent="0.3">
      <c r="A254" t="s">
        <v>2892</v>
      </c>
      <c r="B254" t="s">
        <v>1801</v>
      </c>
      <c r="C254" t="s">
        <v>2581</v>
      </c>
      <c r="D254" t="s">
        <v>44</v>
      </c>
      <c r="E254" s="1">
        <v>46055</v>
      </c>
      <c r="F254">
        <v>38</v>
      </c>
      <c r="G254">
        <v>1</v>
      </c>
      <c r="H254">
        <v>49</v>
      </c>
      <c r="I254">
        <v>1</v>
      </c>
      <c r="J254" t="s">
        <v>672</v>
      </c>
      <c r="K254" t="s">
        <v>1959</v>
      </c>
      <c r="L254" t="s">
        <v>2919</v>
      </c>
      <c r="M254" s="3" t="str">
        <f>HYPERLINK("https://ovidsp.ovid.com/ovidweb.cgi?T=JS&amp;NEWS=n&amp;CSC=Y&amp;PAGE=toc&amp;D=yrovft&amp;AN=00129804-000000000-00000","https://ovidsp.ovid.com/ovidweb.cgi?T=JS&amp;NEWS=n&amp;CSC=Y&amp;PAGE=toc&amp;D=yrovft&amp;AN=00129804-000000000-00000")</f>
        <v>https://ovidsp.ovid.com/ovidweb.cgi?T=JS&amp;NEWS=n&amp;CSC=Y&amp;PAGE=toc&amp;D=yrovft&amp;AN=00129804-000000000-00000</v>
      </c>
      <c r="N254" t="s">
        <v>161</v>
      </c>
      <c r="O254" t="s">
        <v>2151</v>
      </c>
      <c r="P254" t="s">
        <v>2431</v>
      </c>
      <c r="Q254">
        <v>1428052</v>
      </c>
      <c r="R254" t="s">
        <v>2250</v>
      </c>
      <c r="S254" t="s">
        <v>84</v>
      </c>
      <c r="T254" t="s">
        <v>2152</v>
      </c>
      <c r="U254" t="s">
        <v>2045</v>
      </c>
      <c r="V254" t="b">
        <v>0</v>
      </c>
      <c r="W254" t="s">
        <v>2022</v>
      </c>
      <c r="X254" t="b">
        <v>0</v>
      </c>
      <c r="Y254" t="s">
        <v>2022</v>
      </c>
      <c r="Z254" t="s">
        <v>1416</v>
      </c>
      <c r="AA254" t="s">
        <v>192</v>
      </c>
      <c r="AB254" t="s">
        <v>192</v>
      </c>
    </row>
    <row r="255" spans="1:28" x14ac:dyDescent="0.3">
      <c r="A255" t="s">
        <v>2564</v>
      </c>
      <c r="B255" t="s">
        <v>3059</v>
      </c>
      <c r="C255" t="s">
        <v>2022</v>
      </c>
      <c r="D255" t="s">
        <v>44</v>
      </c>
      <c r="E255" s="1">
        <v>46055</v>
      </c>
      <c r="F255">
        <v>1</v>
      </c>
      <c r="G255">
        <v>1</v>
      </c>
      <c r="H255">
        <v>7</v>
      </c>
      <c r="I255">
        <v>2</v>
      </c>
      <c r="J255" t="s">
        <v>675</v>
      </c>
      <c r="K255" t="s">
        <v>981</v>
      </c>
      <c r="L255" t="s">
        <v>249</v>
      </c>
      <c r="M255" s="3" t="str">
        <f>HYPERLINK("https://ovidsp.ovid.com/ovidweb.cgi?T=JS&amp;NEWS=n&amp;CSC=Y&amp;PAGE=toc&amp;D=yrovft&amp;AN=01881789-000000000-00000","https://ovidsp.ovid.com/ovidweb.cgi?T=JS&amp;NEWS=n&amp;CSC=Y&amp;PAGE=toc&amp;D=yrovft&amp;AN=01881789-000000000-00000")</f>
        <v>https://ovidsp.ovid.com/ovidweb.cgi?T=JS&amp;NEWS=n&amp;CSC=Y&amp;PAGE=toc&amp;D=yrovft&amp;AN=01881789-000000000-00000</v>
      </c>
      <c r="N255" t="s">
        <v>2022</v>
      </c>
      <c r="O255" t="s">
        <v>2151</v>
      </c>
      <c r="P255" t="s">
        <v>2431</v>
      </c>
      <c r="Q255">
        <v>1428052</v>
      </c>
      <c r="R255" t="s">
        <v>1332</v>
      </c>
      <c r="S255" t="s">
        <v>84</v>
      </c>
      <c r="T255" t="s">
        <v>2152</v>
      </c>
      <c r="U255" t="s">
        <v>846</v>
      </c>
      <c r="V255" t="b">
        <v>0</v>
      </c>
      <c r="W255" t="s">
        <v>2022</v>
      </c>
      <c r="X255" t="b">
        <v>0</v>
      </c>
      <c r="Y255" t="s">
        <v>2022</v>
      </c>
      <c r="Z255" t="s">
        <v>2022</v>
      </c>
      <c r="AA255" t="s">
        <v>192</v>
      </c>
      <c r="AB255" t="s">
        <v>192</v>
      </c>
    </row>
    <row r="256" spans="1:28" x14ac:dyDescent="0.3">
      <c r="A256" t="s">
        <v>1596</v>
      </c>
      <c r="B256" t="s">
        <v>2022</v>
      </c>
      <c r="C256" t="s">
        <v>2822</v>
      </c>
      <c r="D256" t="s">
        <v>44</v>
      </c>
      <c r="E256" s="1">
        <v>46055</v>
      </c>
      <c r="F256">
        <v>19</v>
      </c>
      <c r="G256">
        <v>1</v>
      </c>
      <c r="H256">
        <v>30</v>
      </c>
      <c r="I256">
        <v>1</v>
      </c>
      <c r="J256" t="s">
        <v>672</v>
      </c>
      <c r="K256" t="s">
        <v>1959</v>
      </c>
      <c r="L256" t="s">
        <v>2919</v>
      </c>
      <c r="M256" s="3" t="str">
        <f>HYPERLINK("https://ovidsp.ovid.com/ovidweb.cgi?T=JS&amp;NEWS=n&amp;CSC=Y&amp;PAGE=toc&amp;D=yrovft&amp;AN=00128360-000000000-00000","https://ovidsp.ovid.com/ovidweb.cgi?T=JS&amp;NEWS=n&amp;CSC=Y&amp;PAGE=toc&amp;D=yrovft&amp;AN=00128360-000000000-00000")</f>
        <v>https://ovidsp.ovid.com/ovidweb.cgi?T=JS&amp;NEWS=n&amp;CSC=Y&amp;PAGE=toc&amp;D=yrovft&amp;AN=00128360-000000000-00000</v>
      </c>
      <c r="N256" t="s">
        <v>2717</v>
      </c>
      <c r="O256" t="s">
        <v>2151</v>
      </c>
      <c r="P256" t="s">
        <v>2431</v>
      </c>
      <c r="Q256">
        <v>1428052</v>
      </c>
      <c r="R256" t="s">
        <v>2800</v>
      </c>
      <c r="S256" t="s">
        <v>84</v>
      </c>
      <c r="T256" t="s">
        <v>2152</v>
      </c>
      <c r="U256" t="s">
        <v>1487</v>
      </c>
      <c r="V256" t="b">
        <v>1</v>
      </c>
      <c r="W256" t="s">
        <v>1106</v>
      </c>
      <c r="X256" t="b">
        <v>0</v>
      </c>
      <c r="Y256" t="s">
        <v>2022</v>
      </c>
      <c r="Z256" t="s">
        <v>3029</v>
      </c>
      <c r="AA256" t="s">
        <v>192</v>
      </c>
      <c r="AB256" t="s">
        <v>192</v>
      </c>
    </row>
    <row r="257" spans="1:28" x14ac:dyDescent="0.3">
      <c r="A257" t="s">
        <v>1518</v>
      </c>
      <c r="B257" t="s">
        <v>595</v>
      </c>
      <c r="C257" t="s">
        <v>689</v>
      </c>
      <c r="D257" t="s">
        <v>44</v>
      </c>
      <c r="E257" s="1">
        <v>46055</v>
      </c>
      <c r="F257">
        <v>203</v>
      </c>
      <c r="G257">
        <v>1</v>
      </c>
      <c r="H257">
        <v>214</v>
      </c>
      <c r="I257">
        <v>1</v>
      </c>
      <c r="J257" t="s">
        <v>672</v>
      </c>
      <c r="K257" t="s">
        <v>1959</v>
      </c>
      <c r="L257" t="s">
        <v>2919</v>
      </c>
      <c r="M257" s="3" t="str">
        <f>HYPERLINK("https://ovidsp.ovid.com/ovidweb.cgi?T=JS&amp;NEWS=n&amp;CSC=Y&amp;PAGE=toc&amp;D=yrovft&amp;AN=00005053-000000000-00000","https://ovidsp.ovid.com/ovidweb.cgi?T=JS&amp;NEWS=n&amp;CSC=Y&amp;PAGE=toc&amp;D=yrovft&amp;AN=00005053-000000000-00000")</f>
        <v>https://ovidsp.ovid.com/ovidweb.cgi?T=JS&amp;NEWS=n&amp;CSC=Y&amp;PAGE=toc&amp;D=yrovft&amp;AN=00005053-000000000-00000</v>
      </c>
      <c r="N257" t="s">
        <v>1927</v>
      </c>
      <c r="O257" t="s">
        <v>2151</v>
      </c>
      <c r="P257" t="s">
        <v>2431</v>
      </c>
      <c r="Q257">
        <v>1428052</v>
      </c>
      <c r="R257" t="s">
        <v>2925</v>
      </c>
      <c r="S257" t="s">
        <v>84</v>
      </c>
      <c r="T257" t="s">
        <v>2152</v>
      </c>
      <c r="U257" t="s">
        <v>1624</v>
      </c>
      <c r="V257" t="b">
        <v>1</v>
      </c>
      <c r="W257" t="s">
        <v>2728</v>
      </c>
      <c r="X257" t="b">
        <v>0</v>
      </c>
      <c r="Y257" t="s">
        <v>2022</v>
      </c>
      <c r="Z257" t="s">
        <v>2929</v>
      </c>
      <c r="AA257" t="s">
        <v>192</v>
      </c>
      <c r="AB257" t="s">
        <v>192</v>
      </c>
    </row>
    <row r="258" spans="1:28" x14ac:dyDescent="0.3">
      <c r="A258" t="s">
        <v>2245</v>
      </c>
      <c r="B258" t="s">
        <v>2085</v>
      </c>
      <c r="C258" t="s">
        <v>1707</v>
      </c>
      <c r="D258" t="s">
        <v>44</v>
      </c>
      <c r="E258" s="1">
        <v>46055</v>
      </c>
      <c r="F258">
        <v>35</v>
      </c>
      <c r="G258">
        <v>1</v>
      </c>
      <c r="H258">
        <v>45</v>
      </c>
      <c r="I258">
        <v>4</v>
      </c>
      <c r="J258" t="s">
        <v>1947</v>
      </c>
      <c r="K258" t="s">
        <v>2249</v>
      </c>
      <c r="L258" t="s">
        <v>2771</v>
      </c>
      <c r="M258" s="3" t="str">
        <f>HYPERLINK("https://ovidsp.ovid.com/ovidweb.cgi?T=JS&amp;NEWS=n&amp;CSC=Y&amp;PAGE=toc&amp;D=yrovft&amp;AN=00041327-000000000-00000","https://ovidsp.ovid.com/ovidweb.cgi?T=JS&amp;NEWS=n&amp;CSC=Y&amp;PAGE=toc&amp;D=yrovft&amp;AN=00041327-000000000-00000")</f>
        <v>https://ovidsp.ovid.com/ovidweb.cgi?T=JS&amp;NEWS=n&amp;CSC=Y&amp;PAGE=toc&amp;D=yrovft&amp;AN=00041327-000000000-00000</v>
      </c>
      <c r="N258" t="s">
        <v>1185</v>
      </c>
      <c r="O258" t="s">
        <v>2151</v>
      </c>
      <c r="P258" t="s">
        <v>2431</v>
      </c>
      <c r="Q258">
        <v>1428052</v>
      </c>
      <c r="R258" t="s">
        <v>2545</v>
      </c>
      <c r="S258" t="s">
        <v>84</v>
      </c>
      <c r="T258" t="s">
        <v>2152</v>
      </c>
      <c r="U258" t="s">
        <v>2712</v>
      </c>
      <c r="V258" t="b">
        <v>1</v>
      </c>
      <c r="W258" t="s">
        <v>2335</v>
      </c>
      <c r="X258" t="b">
        <v>0</v>
      </c>
      <c r="Y258" t="s">
        <v>2022</v>
      </c>
      <c r="Z258" t="s">
        <v>1464</v>
      </c>
      <c r="AA258" t="s">
        <v>192</v>
      </c>
      <c r="AB258" t="s">
        <v>192</v>
      </c>
    </row>
    <row r="259" spans="1:28" x14ac:dyDescent="0.3">
      <c r="A259" t="s">
        <v>1312</v>
      </c>
      <c r="B259" t="s">
        <v>149</v>
      </c>
      <c r="C259" t="s">
        <v>341</v>
      </c>
      <c r="D259" t="s">
        <v>44</v>
      </c>
      <c r="E259" s="1">
        <v>46055</v>
      </c>
      <c r="F259">
        <v>39</v>
      </c>
      <c r="G259">
        <v>1</v>
      </c>
      <c r="H259">
        <v>50</v>
      </c>
      <c r="I259">
        <v>1</v>
      </c>
      <c r="J259" t="s">
        <v>672</v>
      </c>
      <c r="K259" t="s">
        <v>1959</v>
      </c>
      <c r="L259" t="s">
        <v>2919</v>
      </c>
      <c r="M259" s="3" t="str">
        <f>HYPERLINK("https://ovidsp.ovid.com/ovidweb.cgi?T=JS&amp;NEWS=n&amp;CSC=Y&amp;PAGE=toc&amp;D=yrovft&amp;AN=01253086-000000000-00000","https://ovidsp.ovid.com/ovidweb.cgi?T=JS&amp;NEWS=n&amp;CSC=Y&amp;PAGE=toc&amp;D=yrovft&amp;AN=01253086-000000000-00000")</f>
        <v>https://ovidsp.ovid.com/ovidweb.cgi?T=JS&amp;NEWS=n&amp;CSC=Y&amp;PAGE=toc&amp;D=yrovft&amp;AN=01253086-000000000-00000</v>
      </c>
      <c r="N259" t="s">
        <v>1713</v>
      </c>
      <c r="O259" t="s">
        <v>2151</v>
      </c>
      <c r="P259" t="s">
        <v>2431</v>
      </c>
      <c r="Q259">
        <v>1428052</v>
      </c>
      <c r="R259" t="s">
        <v>1348</v>
      </c>
      <c r="S259" t="s">
        <v>84</v>
      </c>
      <c r="T259" t="s">
        <v>2152</v>
      </c>
      <c r="U259" t="s">
        <v>411</v>
      </c>
      <c r="V259" t="b">
        <v>1</v>
      </c>
      <c r="W259" t="s">
        <v>231</v>
      </c>
      <c r="X259" t="b">
        <v>0</v>
      </c>
      <c r="Y259" t="s">
        <v>2022</v>
      </c>
      <c r="Z259" t="s">
        <v>2914</v>
      </c>
      <c r="AA259" t="s">
        <v>192</v>
      </c>
      <c r="AB259" t="s">
        <v>192</v>
      </c>
    </row>
    <row r="260" spans="1:28" x14ac:dyDescent="0.3">
      <c r="A260" t="s">
        <v>2946</v>
      </c>
      <c r="B260" t="s">
        <v>2022</v>
      </c>
      <c r="C260" t="s">
        <v>920</v>
      </c>
      <c r="D260" t="s">
        <v>44</v>
      </c>
      <c r="E260" s="1">
        <v>46055</v>
      </c>
      <c r="F260">
        <v>47</v>
      </c>
      <c r="G260">
        <v>1</v>
      </c>
      <c r="H260">
        <v>58</v>
      </c>
      <c r="I260">
        <v>1</v>
      </c>
      <c r="J260" t="s">
        <v>2561</v>
      </c>
      <c r="K260" t="s">
        <v>1525</v>
      </c>
      <c r="L260" t="s">
        <v>2919</v>
      </c>
      <c r="M260" s="3" t="str">
        <f>HYPERLINK("https://ovidsp.ovid.com/ovidweb.cgi?T=JS&amp;NEWS=n&amp;CSC=Y&amp;PAGE=toc&amp;D=yrovft&amp;AN=01376517-000000000-00000","https://ovidsp.ovid.com/ovidweb.cgi?T=JS&amp;NEWS=n&amp;CSC=Y&amp;PAGE=toc&amp;D=yrovft&amp;AN=01376517-000000000-00000")</f>
        <v>https://ovidsp.ovid.com/ovidweb.cgi?T=JS&amp;NEWS=n&amp;CSC=Y&amp;PAGE=toc&amp;D=yrovft&amp;AN=01376517-000000000-00000</v>
      </c>
      <c r="N260" t="s">
        <v>1073</v>
      </c>
      <c r="O260" t="s">
        <v>2151</v>
      </c>
      <c r="P260" t="s">
        <v>2431</v>
      </c>
      <c r="Q260">
        <v>1428052</v>
      </c>
      <c r="R260" t="s">
        <v>2780</v>
      </c>
      <c r="S260" t="s">
        <v>84</v>
      </c>
      <c r="T260" t="s">
        <v>2152</v>
      </c>
      <c r="U260" t="s">
        <v>593</v>
      </c>
      <c r="V260" t="b">
        <v>1</v>
      </c>
      <c r="W260" t="s">
        <v>283</v>
      </c>
      <c r="X260" t="b">
        <v>0</v>
      </c>
      <c r="Y260" t="s">
        <v>2022</v>
      </c>
      <c r="Z260" t="s">
        <v>2440</v>
      </c>
      <c r="AA260" t="s">
        <v>192</v>
      </c>
      <c r="AB260" t="s">
        <v>192</v>
      </c>
    </row>
    <row r="261" spans="1:28" x14ac:dyDescent="0.3">
      <c r="A261" t="s">
        <v>1790</v>
      </c>
      <c r="B261" t="s">
        <v>1757</v>
      </c>
      <c r="C261" t="s">
        <v>654</v>
      </c>
      <c r="D261" t="s">
        <v>44</v>
      </c>
      <c r="E261" s="1">
        <v>46055</v>
      </c>
      <c r="F261">
        <v>27</v>
      </c>
      <c r="G261">
        <v>1</v>
      </c>
      <c r="H261">
        <v>38</v>
      </c>
      <c r="I261">
        <v>1</v>
      </c>
      <c r="J261" t="s">
        <v>672</v>
      </c>
      <c r="K261" t="s">
        <v>1959</v>
      </c>
      <c r="L261" t="s">
        <v>2919</v>
      </c>
      <c r="M261" s="3" t="str">
        <f>HYPERLINK("https://ovidsp.ovid.com/ovidweb.cgi?T=JS&amp;NEWS=n&amp;CSC=Y&amp;PAGE=toc&amp;D=yrovft&amp;AN=00008506-000000000-00000","https://ovidsp.ovid.com/ovidweb.cgi?T=JS&amp;NEWS=n&amp;CSC=Y&amp;PAGE=toc&amp;D=yrovft&amp;AN=00008506-000000000-00000")</f>
        <v>https://ovidsp.ovid.com/ovidweb.cgi?T=JS&amp;NEWS=n&amp;CSC=Y&amp;PAGE=toc&amp;D=yrovft&amp;AN=00008506-000000000-00000</v>
      </c>
      <c r="N261" t="s">
        <v>2697</v>
      </c>
      <c r="O261" t="s">
        <v>2151</v>
      </c>
      <c r="P261" t="s">
        <v>2431</v>
      </c>
      <c r="Q261">
        <v>1428052</v>
      </c>
      <c r="R261" t="s">
        <v>897</v>
      </c>
      <c r="S261" t="s">
        <v>84</v>
      </c>
      <c r="T261" t="s">
        <v>2152</v>
      </c>
      <c r="U261" t="s">
        <v>1569</v>
      </c>
      <c r="V261" t="b">
        <v>1</v>
      </c>
      <c r="W261" t="s">
        <v>24</v>
      </c>
      <c r="X261" t="b">
        <v>0</v>
      </c>
      <c r="Y261" t="s">
        <v>2022</v>
      </c>
      <c r="Z261" t="s">
        <v>2944</v>
      </c>
      <c r="AA261" t="s">
        <v>192</v>
      </c>
      <c r="AB261" t="s">
        <v>192</v>
      </c>
    </row>
    <row r="262" spans="1:28" x14ac:dyDescent="0.3">
      <c r="A262" t="s">
        <v>798</v>
      </c>
      <c r="B262" t="s">
        <v>965</v>
      </c>
      <c r="C262" t="s">
        <v>1426</v>
      </c>
      <c r="D262" t="s">
        <v>44</v>
      </c>
      <c r="E262" s="1">
        <v>46055</v>
      </c>
      <c r="F262">
        <v>30</v>
      </c>
      <c r="G262">
        <v>1</v>
      </c>
      <c r="H262">
        <v>41</v>
      </c>
      <c r="I262">
        <v>1</v>
      </c>
      <c r="J262" t="s">
        <v>672</v>
      </c>
      <c r="K262" t="s">
        <v>1959</v>
      </c>
      <c r="L262" t="s">
        <v>2919</v>
      </c>
      <c r="M262" s="3" t="str">
        <f>HYPERLINK("https://ovidsp.ovid.com/ovidweb.cgi?T=JS&amp;NEWS=n&amp;CSC=Y&amp;PAGE=toc&amp;D=yrovft&amp;AN=00001786-000000000-00000","https://ovidsp.ovid.com/ovidweb.cgi?T=JS&amp;NEWS=n&amp;CSC=Y&amp;PAGE=toc&amp;D=yrovft&amp;AN=00001786-000000000-00000")</f>
        <v>https://ovidsp.ovid.com/ovidweb.cgi?T=JS&amp;NEWS=n&amp;CSC=Y&amp;PAGE=toc&amp;D=yrovft&amp;AN=00001786-000000000-00000</v>
      </c>
      <c r="N262" t="s">
        <v>1200</v>
      </c>
      <c r="O262" t="s">
        <v>2151</v>
      </c>
      <c r="P262" t="s">
        <v>2431</v>
      </c>
      <c r="Q262">
        <v>1428052</v>
      </c>
      <c r="R262" t="s">
        <v>3065</v>
      </c>
      <c r="S262" t="s">
        <v>84</v>
      </c>
      <c r="T262" t="s">
        <v>2152</v>
      </c>
      <c r="U262" t="s">
        <v>1980</v>
      </c>
      <c r="V262" t="b">
        <v>1</v>
      </c>
      <c r="W262" t="s">
        <v>1841</v>
      </c>
      <c r="X262" t="b">
        <v>0</v>
      </c>
      <c r="Y262" t="s">
        <v>2022</v>
      </c>
      <c r="Z262" t="s">
        <v>2695</v>
      </c>
      <c r="AA262" t="s">
        <v>192</v>
      </c>
      <c r="AB262" t="s">
        <v>192</v>
      </c>
    </row>
    <row r="263" spans="1:28" x14ac:dyDescent="0.3">
      <c r="A263" t="s">
        <v>306</v>
      </c>
      <c r="B263" t="s">
        <v>2022</v>
      </c>
      <c r="C263" t="s">
        <v>869</v>
      </c>
      <c r="D263" t="s">
        <v>44</v>
      </c>
      <c r="E263" s="1">
        <v>46055</v>
      </c>
      <c r="F263">
        <v>9</v>
      </c>
      <c r="G263">
        <v>3</v>
      </c>
      <c r="H263">
        <v>33</v>
      </c>
      <c r="I263">
        <v>6</v>
      </c>
      <c r="J263" t="s">
        <v>2948</v>
      </c>
      <c r="K263" t="s">
        <v>2860</v>
      </c>
      <c r="L263" t="s">
        <v>2771</v>
      </c>
      <c r="M263" s="3" t="str">
        <f>HYPERLINK("https://ovidsp.ovid.com/ovidweb.cgi?T=JS&amp;NEWS=n&amp;CSC=Y&amp;PAGE=toc&amp;D=yrovft&amp;AN=00134372-000000000-00000","https://ovidsp.ovid.com/ovidweb.cgi?T=JS&amp;NEWS=n&amp;CSC=Y&amp;PAGE=toc&amp;D=yrovft&amp;AN=00134372-000000000-00000")</f>
        <v>https://ovidsp.ovid.com/ovidweb.cgi?T=JS&amp;NEWS=n&amp;CSC=Y&amp;PAGE=toc&amp;D=yrovft&amp;AN=00134372-000000000-00000</v>
      </c>
      <c r="N263" t="s">
        <v>2890</v>
      </c>
      <c r="O263" t="s">
        <v>2151</v>
      </c>
      <c r="P263" t="s">
        <v>2431</v>
      </c>
      <c r="Q263">
        <v>1428052</v>
      </c>
      <c r="R263" t="s">
        <v>1839</v>
      </c>
      <c r="S263" t="s">
        <v>84</v>
      </c>
      <c r="T263" t="s">
        <v>2152</v>
      </c>
      <c r="U263" t="s">
        <v>914</v>
      </c>
      <c r="V263" t="b">
        <v>1</v>
      </c>
      <c r="W263" t="s">
        <v>353</v>
      </c>
      <c r="X263" t="b">
        <v>0</v>
      </c>
      <c r="Y263" t="s">
        <v>2022</v>
      </c>
      <c r="Z263" t="s">
        <v>478</v>
      </c>
      <c r="AA263" t="s">
        <v>192</v>
      </c>
      <c r="AB263" t="s">
        <v>192</v>
      </c>
    </row>
    <row r="264" spans="1:28" x14ac:dyDescent="0.3">
      <c r="A264" t="s">
        <v>1463</v>
      </c>
      <c r="B264" t="s">
        <v>964</v>
      </c>
      <c r="C264" t="s">
        <v>19</v>
      </c>
      <c r="D264" t="s">
        <v>44</v>
      </c>
      <c r="E264" s="1">
        <v>46055</v>
      </c>
      <c r="F264">
        <v>1</v>
      </c>
      <c r="G264">
        <v>1</v>
      </c>
      <c r="H264">
        <v>10</v>
      </c>
      <c r="I264">
        <v>4</v>
      </c>
      <c r="J264" t="s">
        <v>1602</v>
      </c>
      <c r="K264" t="s">
        <v>1974</v>
      </c>
      <c r="L264" t="s">
        <v>2771</v>
      </c>
      <c r="M264" s="3" t="str">
        <f>HYPERLINK("https://ovidsp.ovid.com/ovidweb.cgi?T=JS&amp;NEWS=n&amp;CSC=Y&amp;PAGE=toc&amp;D=yrovft&amp;AN=02035266-000000000-00000","https://ovidsp.ovid.com/ovidweb.cgi?T=JS&amp;NEWS=n&amp;CSC=Y&amp;PAGE=toc&amp;D=yrovft&amp;AN=02035266-000000000-00000")</f>
        <v>https://ovidsp.ovid.com/ovidweb.cgi?T=JS&amp;NEWS=n&amp;CSC=Y&amp;PAGE=toc&amp;D=yrovft&amp;AN=02035266-000000000-00000</v>
      </c>
      <c r="N264" t="s">
        <v>2169</v>
      </c>
      <c r="O264" t="s">
        <v>2151</v>
      </c>
      <c r="P264" t="s">
        <v>2431</v>
      </c>
      <c r="Q264">
        <v>1428052</v>
      </c>
      <c r="R264" t="s">
        <v>2502</v>
      </c>
      <c r="S264" t="s">
        <v>84</v>
      </c>
      <c r="T264" t="s">
        <v>2152</v>
      </c>
      <c r="U264" t="s">
        <v>2589</v>
      </c>
      <c r="V264" t="b">
        <v>1</v>
      </c>
      <c r="W264" t="s">
        <v>962</v>
      </c>
      <c r="X264" t="b">
        <v>0</v>
      </c>
      <c r="Y264" t="s">
        <v>2022</v>
      </c>
      <c r="Z264" t="s">
        <v>2693</v>
      </c>
      <c r="AA264" t="s">
        <v>192</v>
      </c>
      <c r="AB264" t="s">
        <v>192</v>
      </c>
    </row>
    <row r="265" spans="1:28" x14ac:dyDescent="0.3">
      <c r="A265" t="s">
        <v>370</v>
      </c>
      <c r="B265" t="s">
        <v>2406</v>
      </c>
      <c r="C265" t="s">
        <v>293</v>
      </c>
      <c r="D265" t="s">
        <v>44</v>
      </c>
      <c r="E265" s="1">
        <v>46055</v>
      </c>
      <c r="F265">
        <v>57</v>
      </c>
      <c r="G265">
        <v>1</v>
      </c>
      <c r="H265">
        <v>68</v>
      </c>
      <c r="I265">
        <v>2</v>
      </c>
      <c r="J265" t="s">
        <v>2585</v>
      </c>
      <c r="K265" t="s">
        <v>1959</v>
      </c>
      <c r="L265" t="s">
        <v>712</v>
      </c>
      <c r="M265" s="3" t="str">
        <f>HYPERLINK("https://ovidsp.ovid.com/ovidweb.cgi?T=JS&amp;NEWS=n&amp;CSC=Y&amp;PAGE=toc&amp;D=yrovft&amp;AN=00043764-000000000-00000","https://ovidsp.ovid.com/ovidweb.cgi?T=JS&amp;NEWS=n&amp;CSC=Y&amp;PAGE=toc&amp;D=yrovft&amp;AN=00043764-000000000-00000")</f>
        <v>https://ovidsp.ovid.com/ovidweb.cgi?T=JS&amp;NEWS=n&amp;CSC=Y&amp;PAGE=toc&amp;D=yrovft&amp;AN=00043764-000000000-00000</v>
      </c>
      <c r="N265" t="s">
        <v>2448</v>
      </c>
      <c r="O265" t="s">
        <v>2151</v>
      </c>
      <c r="P265" t="s">
        <v>2431</v>
      </c>
      <c r="Q265">
        <v>1428052</v>
      </c>
      <c r="R265" t="s">
        <v>921</v>
      </c>
      <c r="S265" t="s">
        <v>84</v>
      </c>
      <c r="T265" t="s">
        <v>2152</v>
      </c>
      <c r="U265" t="s">
        <v>1411</v>
      </c>
      <c r="V265" t="b">
        <v>1</v>
      </c>
      <c r="W265" t="s">
        <v>546</v>
      </c>
      <c r="X265" t="b">
        <v>0</v>
      </c>
      <c r="Y265" t="s">
        <v>2022</v>
      </c>
      <c r="Z265" t="s">
        <v>274</v>
      </c>
      <c r="AA265" t="s">
        <v>192</v>
      </c>
      <c r="AB265" t="s">
        <v>192</v>
      </c>
    </row>
    <row r="266" spans="1:28" x14ac:dyDescent="0.3">
      <c r="A266" t="s">
        <v>1372</v>
      </c>
      <c r="B266" t="s">
        <v>1050</v>
      </c>
      <c r="C266" t="s">
        <v>177</v>
      </c>
      <c r="D266" t="s">
        <v>44</v>
      </c>
      <c r="E266" s="1">
        <v>46055</v>
      </c>
      <c r="F266">
        <v>29</v>
      </c>
      <c r="G266">
        <v>2</v>
      </c>
      <c r="H266">
        <v>40</v>
      </c>
      <c r="I266">
        <v>2</v>
      </c>
      <c r="J266" t="s">
        <v>1878</v>
      </c>
      <c r="K266" t="s">
        <v>1525</v>
      </c>
      <c r="L266" t="s">
        <v>712</v>
      </c>
      <c r="M266" s="3" t="str">
        <f>HYPERLINK("https://ovidsp.ovid.com/ovidweb.cgi?T=JS&amp;NEWS=n&amp;CSC=Y&amp;PAGE=toc&amp;D=yrovft&amp;AN=00005131-000000000-00000","https://ovidsp.ovid.com/ovidweb.cgi?T=JS&amp;NEWS=n&amp;CSC=Y&amp;PAGE=toc&amp;D=yrovft&amp;AN=00005131-000000000-00000")</f>
        <v>https://ovidsp.ovid.com/ovidweb.cgi?T=JS&amp;NEWS=n&amp;CSC=Y&amp;PAGE=toc&amp;D=yrovft&amp;AN=00005131-000000000-00000</v>
      </c>
      <c r="N266" t="s">
        <v>498</v>
      </c>
      <c r="O266" t="s">
        <v>2151</v>
      </c>
      <c r="P266" t="s">
        <v>2431</v>
      </c>
      <c r="Q266">
        <v>1428052</v>
      </c>
      <c r="R266" t="s">
        <v>1925</v>
      </c>
      <c r="S266" t="s">
        <v>84</v>
      </c>
      <c r="T266" t="s">
        <v>2152</v>
      </c>
      <c r="U266" t="s">
        <v>310</v>
      </c>
      <c r="V266" t="b">
        <v>1</v>
      </c>
      <c r="W266" t="s">
        <v>510</v>
      </c>
      <c r="X266" t="b">
        <v>0</v>
      </c>
      <c r="Y266" t="s">
        <v>2022</v>
      </c>
      <c r="Z266" t="s">
        <v>2196</v>
      </c>
      <c r="AA266" t="s">
        <v>192</v>
      </c>
      <c r="AB266" t="s">
        <v>192</v>
      </c>
    </row>
    <row r="267" spans="1:28" x14ac:dyDescent="0.3">
      <c r="A267" t="s">
        <v>458</v>
      </c>
      <c r="B267" t="s">
        <v>413</v>
      </c>
      <c r="C267" t="s">
        <v>2381</v>
      </c>
      <c r="D267" t="s">
        <v>44</v>
      </c>
      <c r="E267" s="1">
        <v>46055</v>
      </c>
      <c r="F267">
        <v>1</v>
      </c>
      <c r="G267">
        <v>1</v>
      </c>
      <c r="H267">
        <v>8</v>
      </c>
      <c r="I267" t="s">
        <v>577</v>
      </c>
      <c r="J267" t="s">
        <v>1983</v>
      </c>
      <c r="K267" t="s">
        <v>1271</v>
      </c>
      <c r="L267" t="s">
        <v>2771</v>
      </c>
      <c r="M267" s="3" t="str">
        <f>HYPERLINK("https://ovidsp.ovid.com/ovidweb.cgi?T=JS&amp;NEWS=n&amp;CSC=Y&amp;PAGE=toc&amp;D=yrovft&amp;AN=02070903-000000000-00000","https://ovidsp.ovid.com/ovidweb.cgi?T=JS&amp;NEWS=n&amp;CSC=Y&amp;PAGE=toc&amp;D=yrovft&amp;AN=02070903-000000000-00000")</f>
        <v>https://ovidsp.ovid.com/ovidweb.cgi?T=JS&amp;NEWS=n&amp;CSC=Y&amp;PAGE=toc&amp;D=yrovft&amp;AN=02070903-000000000-00000</v>
      </c>
      <c r="N267" t="s">
        <v>609</v>
      </c>
      <c r="O267" t="s">
        <v>2151</v>
      </c>
      <c r="P267" t="s">
        <v>2431</v>
      </c>
      <c r="Q267">
        <v>1428052</v>
      </c>
      <c r="R267" t="s">
        <v>484</v>
      </c>
      <c r="S267" t="s">
        <v>84</v>
      </c>
      <c r="T267" t="s">
        <v>2152</v>
      </c>
      <c r="U267" t="s">
        <v>1595</v>
      </c>
      <c r="V267" t="b">
        <v>1</v>
      </c>
      <c r="W267" t="s">
        <v>2370</v>
      </c>
      <c r="X267" t="b">
        <v>0</v>
      </c>
      <c r="Y267" t="s">
        <v>2022</v>
      </c>
      <c r="Z267" t="s">
        <v>1351</v>
      </c>
      <c r="AA267" t="s">
        <v>192</v>
      </c>
      <c r="AB267" t="s">
        <v>192</v>
      </c>
    </row>
    <row r="268" spans="1:28" x14ac:dyDescent="0.3">
      <c r="A268" t="s">
        <v>2295</v>
      </c>
      <c r="B268" t="s">
        <v>817</v>
      </c>
      <c r="C268" t="s">
        <v>859</v>
      </c>
      <c r="D268" t="s">
        <v>44</v>
      </c>
      <c r="E268" s="1">
        <v>46055</v>
      </c>
      <c r="F268">
        <v>11</v>
      </c>
      <c r="G268">
        <v>1</v>
      </c>
      <c r="H268">
        <v>22</v>
      </c>
      <c r="I268">
        <v>1</v>
      </c>
      <c r="J268" t="s">
        <v>2488</v>
      </c>
      <c r="K268" t="s">
        <v>2249</v>
      </c>
      <c r="L268" t="s">
        <v>2919</v>
      </c>
      <c r="M268" s="3" t="str">
        <f>HYPERLINK("https://ovidsp.ovid.com/ovidweb.cgi?T=JS&amp;NEWS=n&amp;CSC=Y&amp;PAGE=toc&amp;D=yrovft&amp;AN=01209203-000000000-00000","https://ovidsp.ovid.com/ovidweb.cgi?T=JS&amp;NEWS=n&amp;CSC=Y&amp;PAGE=toc&amp;D=yrovft&amp;AN=01209203-000000000-00000")</f>
        <v>https://ovidsp.ovid.com/ovidweb.cgi?T=JS&amp;NEWS=n&amp;CSC=Y&amp;PAGE=toc&amp;D=yrovft&amp;AN=01209203-000000000-00000</v>
      </c>
      <c r="N268" t="s">
        <v>3128</v>
      </c>
      <c r="O268" t="s">
        <v>2151</v>
      </c>
      <c r="P268" t="s">
        <v>2431</v>
      </c>
      <c r="Q268">
        <v>1428052</v>
      </c>
      <c r="R268" t="s">
        <v>228</v>
      </c>
      <c r="S268" t="s">
        <v>84</v>
      </c>
      <c r="T268" t="s">
        <v>2152</v>
      </c>
      <c r="U268" t="s">
        <v>35</v>
      </c>
      <c r="V268" t="b">
        <v>1</v>
      </c>
      <c r="W268" t="s">
        <v>2736</v>
      </c>
      <c r="X268" t="b">
        <v>0</v>
      </c>
      <c r="Y268" t="s">
        <v>2022</v>
      </c>
      <c r="Z268" t="s">
        <v>839</v>
      </c>
      <c r="AA268" t="s">
        <v>192</v>
      </c>
      <c r="AB268" t="s">
        <v>192</v>
      </c>
    </row>
    <row r="269" spans="1:28" x14ac:dyDescent="0.3">
      <c r="A269" t="s">
        <v>2533</v>
      </c>
      <c r="B269" t="s">
        <v>2363</v>
      </c>
      <c r="C269" t="s">
        <v>612</v>
      </c>
      <c r="D269" t="s">
        <v>44</v>
      </c>
      <c r="E269" s="1">
        <v>46055</v>
      </c>
      <c r="F269">
        <v>37</v>
      </c>
      <c r="G269">
        <v>1</v>
      </c>
      <c r="H269">
        <v>48</v>
      </c>
      <c r="I269">
        <v>1</v>
      </c>
      <c r="J269" t="s">
        <v>672</v>
      </c>
      <c r="K269" t="s">
        <v>1959</v>
      </c>
      <c r="L269" t="s">
        <v>2919</v>
      </c>
      <c r="M269" s="3" t="str">
        <f>HYPERLINK("https://ovidsp.ovid.com/ovidweb.cgi?T=JS&amp;NEWS=n&amp;CSC=Y&amp;PAGE=toc&amp;D=yrovft&amp;AN=00043426-000000000-00000","https://ovidsp.ovid.com/ovidweb.cgi?T=JS&amp;NEWS=n&amp;CSC=Y&amp;PAGE=toc&amp;D=yrovft&amp;AN=00043426-000000000-00000")</f>
        <v>https://ovidsp.ovid.com/ovidweb.cgi?T=JS&amp;NEWS=n&amp;CSC=Y&amp;PAGE=toc&amp;D=yrovft&amp;AN=00043426-000000000-00000</v>
      </c>
      <c r="N269" t="s">
        <v>879</v>
      </c>
      <c r="O269" t="s">
        <v>2151</v>
      </c>
      <c r="P269" t="s">
        <v>2431</v>
      </c>
      <c r="Q269">
        <v>1428052</v>
      </c>
      <c r="R269" t="s">
        <v>752</v>
      </c>
      <c r="S269" t="s">
        <v>84</v>
      </c>
      <c r="T269" t="s">
        <v>2152</v>
      </c>
      <c r="U269" t="s">
        <v>2719</v>
      </c>
      <c r="V269" t="b">
        <v>1</v>
      </c>
      <c r="W269" t="s">
        <v>423</v>
      </c>
      <c r="X269" t="b">
        <v>0</v>
      </c>
      <c r="Y269" t="s">
        <v>2022</v>
      </c>
      <c r="Z269" t="s">
        <v>3148</v>
      </c>
      <c r="AA269" t="s">
        <v>192</v>
      </c>
      <c r="AB269" t="s">
        <v>192</v>
      </c>
    </row>
    <row r="270" spans="1:28" x14ac:dyDescent="0.3">
      <c r="A270" t="s">
        <v>2023</v>
      </c>
      <c r="B270" t="s">
        <v>1690</v>
      </c>
      <c r="C270" t="s">
        <v>2760</v>
      </c>
      <c r="D270" t="s">
        <v>44</v>
      </c>
      <c r="E270" s="1">
        <v>46055</v>
      </c>
      <c r="F270">
        <v>35</v>
      </c>
      <c r="G270">
        <v>1</v>
      </c>
      <c r="H270">
        <v>46</v>
      </c>
      <c r="I270">
        <v>2</v>
      </c>
      <c r="J270" t="s">
        <v>2585</v>
      </c>
      <c r="K270" t="s">
        <v>1959</v>
      </c>
      <c r="L270" t="s">
        <v>712</v>
      </c>
      <c r="M270" s="3" t="str">
        <f>HYPERLINK("https://ovidsp.ovid.com/ovidweb.cgi?T=JS&amp;NEWS=n&amp;CSC=Y&amp;PAGE=toc&amp;D=yrovft&amp;AN=01241398-000000000-00000","https://ovidsp.ovid.com/ovidweb.cgi?T=JS&amp;NEWS=n&amp;CSC=Y&amp;PAGE=toc&amp;D=yrovft&amp;AN=01241398-000000000-00000")</f>
        <v>https://ovidsp.ovid.com/ovidweb.cgi?T=JS&amp;NEWS=n&amp;CSC=Y&amp;PAGE=toc&amp;D=yrovft&amp;AN=01241398-000000000-00000</v>
      </c>
      <c r="N270" t="s">
        <v>233</v>
      </c>
      <c r="O270" t="s">
        <v>2151</v>
      </c>
      <c r="P270" t="s">
        <v>2431</v>
      </c>
      <c r="Q270">
        <v>1428052</v>
      </c>
      <c r="R270" t="s">
        <v>888</v>
      </c>
      <c r="S270" t="s">
        <v>84</v>
      </c>
      <c r="T270" t="s">
        <v>2152</v>
      </c>
      <c r="U270" t="s">
        <v>2117</v>
      </c>
      <c r="V270" t="b">
        <v>1</v>
      </c>
      <c r="W270" t="s">
        <v>1135</v>
      </c>
      <c r="X270" t="b">
        <v>0</v>
      </c>
      <c r="Y270" t="s">
        <v>2022</v>
      </c>
      <c r="Z270" t="s">
        <v>1351</v>
      </c>
      <c r="AA270" t="s">
        <v>192</v>
      </c>
      <c r="AB270" t="s">
        <v>192</v>
      </c>
    </row>
    <row r="271" spans="1:28" x14ac:dyDescent="0.3">
      <c r="A271" t="s">
        <v>2830</v>
      </c>
      <c r="B271" t="s">
        <v>1459</v>
      </c>
      <c r="C271" t="s">
        <v>3069</v>
      </c>
      <c r="D271" t="s">
        <v>44</v>
      </c>
      <c r="E271" s="1">
        <v>46055</v>
      </c>
      <c r="F271">
        <v>24</v>
      </c>
      <c r="G271">
        <v>1</v>
      </c>
      <c r="H271">
        <v>35</v>
      </c>
      <c r="I271">
        <v>2</v>
      </c>
      <c r="J271" t="s">
        <v>359</v>
      </c>
      <c r="K271" t="s">
        <v>1959</v>
      </c>
      <c r="L271" t="s">
        <v>2441</v>
      </c>
      <c r="M271" s="3" t="str">
        <f>HYPERLINK("https://ovidsp.ovid.com/ovidweb.cgi?T=JS&amp;NEWS=n&amp;CSC=Y&amp;PAGE=toc&amp;D=yrovft&amp;AN=01202412-000000000-00000","https://ovidsp.ovid.com/ovidweb.cgi?T=JS&amp;NEWS=n&amp;CSC=Y&amp;PAGE=toc&amp;D=yrovft&amp;AN=01202412-000000000-00000")</f>
        <v>https://ovidsp.ovid.com/ovidweb.cgi?T=JS&amp;NEWS=n&amp;CSC=Y&amp;PAGE=toc&amp;D=yrovft&amp;AN=01202412-000000000-00000</v>
      </c>
      <c r="N271" t="s">
        <v>2034</v>
      </c>
      <c r="O271" t="s">
        <v>2151</v>
      </c>
      <c r="P271" t="s">
        <v>2431</v>
      </c>
      <c r="Q271">
        <v>1428052</v>
      </c>
      <c r="R271" t="s">
        <v>2131</v>
      </c>
      <c r="S271" t="s">
        <v>84</v>
      </c>
      <c r="T271" t="s">
        <v>2152</v>
      </c>
      <c r="U271" t="s">
        <v>7</v>
      </c>
      <c r="V271" t="b">
        <v>1</v>
      </c>
      <c r="W271" t="s">
        <v>1103</v>
      </c>
      <c r="X271" t="b">
        <v>0</v>
      </c>
      <c r="Y271" t="s">
        <v>2022</v>
      </c>
      <c r="Z271" t="s">
        <v>1351</v>
      </c>
      <c r="AA271" t="s">
        <v>192</v>
      </c>
      <c r="AB271" t="s">
        <v>192</v>
      </c>
    </row>
    <row r="272" spans="1:28" x14ac:dyDescent="0.3">
      <c r="A272" t="s">
        <v>2067</v>
      </c>
      <c r="B272" t="s">
        <v>901</v>
      </c>
      <c r="C272" t="s">
        <v>2711</v>
      </c>
      <c r="D272" t="s">
        <v>44</v>
      </c>
      <c r="E272" s="1">
        <v>46055</v>
      </c>
      <c r="F272">
        <v>29</v>
      </c>
      <c r="G272">
        <v>1</v>
      </c>
      <c r="H272">
        <v>40</v>
      </c>
      <c r="I272">
        <v>1</v>
      </c>
      <c r="J272" t="s">
        <v>672</v>
      </c>
      <c r="K272" t="s">
        <v>1959</v>
      </c>
      <c r="L272" t="s">
        <v>2919</v>
      </c>
      <c r="M272" s="3" t="str">
        <f>HYPERLINK("https://ovidsp.ovid.com/ovidweb.cgi?T=JS&amp;NEWS=n&amp;CSC=Y&amp;PAGE=toc&amp;D=yrovft&amp;AN=00005237-000000000-00000","https://ovidsp.ovid.com/ovidweb.cgi?T=JS&amp;NEWS=n&amp;CSC=Y&amp;PAGE=toc&amp;D=yrovft&amp;AN=00005237-000000000-00000")</f>
        <v>https://ovidsp.ovid.com/ovidweb.cgi?T=JS&amp;NEWS=n&amp;CSC=Y&amp;PAGE=toc&amp;D=yrovft&amp;AN=00005237-000000000-00000</v>
      </c>
      <c r="N272" t="s">
        <v>1037</v>
      </c>
      <c r="O272" t="s">
        <v>2151</v>
      </c>
      <c r="P272" t="s">
        <v>2431</v>
      </c>
      <c r="Q272">
        <v>1428052</v>
      </c>
      <c r="R272" t="s">
        <v>2436</v>
      </c>
      <c r="S272" t="s">
        <v>84</v>
      </c>
      <c r="T272" t="s">
        <v>2152</v>
      </c>
      <c r="U272" t="s">
        <v>299</v>
      </c>
      <c r="V272" t="b">
        <v>1</v>
      </c>
      <c r="W272" t="s">
        <v>3075</v>
      </c>
      <c r="X272" t="b">
        <v>0</v>
      </c>
      <c r="Y272" t="s">
        <v>2022</v>
      </c>
      <c r="Z272" t="s">
        <v>2022</v>
      </c>
      <c r="AA272" t="s">
        <v>192</v>
      </c>
      <c r="AB272" t="s">
        <v>192</v>
      </c>
    </row>
    <row r="273" spans="1:28" x14ac:dyDescent="0.3">
      <c r="A273" t="s">
        <v>2910</v>
      </c>
      <c r="B273" t="s">
        <v>2022</v>
      </c>
      <c r="C273" t="s">
        <v>2698</v>
      </c>
      <c r="D273" t="s">
        <v>44</v>
      </c>
      <c r="E273" s="1">
        <v>46055</v>
      </c>
      <c r="F273">
        <v>29</v>
      </c>
      <c r="G273">
        <v>1</v>
      </c>
      <c r="H273">
        <v>39</v>
      </c>
      <c r="I273">
        <v>4</v>
      </c>
      <c r="J273" t="s">
        <v>1451</v>
      </c>
      <c r="K273" t="s">
        <v>1959</v>
      </c>
      <c r="L273" t="s">
        <v>2771</v>
      </c>
      <c r="M273" s="3" t="str">
        <f>HYPERLINK("https://ovidsp.ovid.com/ovidweb.cgi?T=JS&amp;NEWS=n&amp;CSC=Y&amp;PAGE=toc&amp;D=yrovft&amp;AN=00001416-000000000-00000","https://ovidsp.ovid.com/ovidweb.cgi?T=JS&amp;NEWS=n&amp;CSC=Y&amp;PAGE=toc&amp;D=yrovft&amp;AN=00001416-000000000-00000")</f>
        <v>https://ovidsp.ovid.com/ovidweb.cgi?T=JS&amp;NEWS=n&amp;CSC=Y&amp;PAGE=toc&amp;D=yrovft&amp;AN=00001416-000000000-00000</v>
      </c>
      <c r="N273" t="s">
        <v>974</v>
      </c>
      <c r="O273" t="s">
        <v>2151</v>
      </c>
      <c r="P273" t="s">
        <v>2431</v>
      </c>
      <c r="Q273">
        <v>1428052</v>
      </c>
      <c r="R273" t="s">
        <v>136</v>
      </c>
      <c r="S273" t="s">
        <v>84</v>
      </c>
      <c r="T273" t="s">
        <v>2152</v>
      </c>
      <c r="U273" t="s">
        <v>2192</v>
      </c>
      <c r="V273" t="b">
        <v>1</v>
      </c>
      <c r="W273" t="s">
        <v>1880</v>
      </c>
      <c r="X273" t="b">
        <v>0</v>
      </c>
      <c r="Y273" t="s">
        <v>2022</v>
      </c>
      <c r="Z273" t="s">
        <v>2680</v>
      </c>
      <c r="AA273" t="s">
        <v>192</v>
      </c>
      <c r="AB273" t="s">
        <v>192</v>
      </c>
    </row>
    <row r="274" spans="1:28" x14ac:dyDescent="0.3">
      <c r="A274" t="s">
        <v>2465</v>
      </c>
      <c r="B274" t="s">
        <v>2022</v>
      </c>
      <c r="C274" t="s">
        <v>1765</v>
      </c>
      <c r="D274" t="s">
        <v>44</v>
      </c>
      <c r="E274" s="1">
        <v>46055</v>
      </c>
      <c r="F274">
        <v>21</v>
      </c>
      <c r="G274">
        <v>1</v>
      </c>
      <c r="H274">
        <v>32</v>
      </c>
      <c r="I274">
        <v>1</v>
      </c>
      <c r="J274" t="s">
        <v>672</v>
      </c>
      <c r="K274" t="s">
        <v>1959</v>
      </c>
      <c r="L274" t="s">
        <v>2919</v>
      </c>
      <c r="M274" s="3" t="str">
        <f>HYPERLINK("https://ovidsp.ovid.com/ovidweb.cgi?T=JS&amp;NEWS=n&amp;CSC=Y&amp;PAGE=toc&amp;D=yrovft&amp;AN=00131746-000000000-00000","https://ovidsp.ovid.com/ovidweb.cgi?T=JS&amp;NEWS=n&amp;CSC=Y&amp;PAGE=toc&amp;D=yrovft&amp;AN=00131746-000000000-00000")</f>
        <v>https://ovidsp.ovid.com/ovidweb.cgi?T=JS&amp;NEWS=n&amp;CSC=Y&amp;PAGE=toc&amp;D=yrovft&amp;AN=00131746-000000000-00000</v>
      </c>
      <c r="N274" t="s">
        <v>2792</v>
      </c>
      <c r="O274" t="s">
        <v>2151</v>
      </c>
      <c r="P274" t="s">
        <v>2431</v>
      </c>
      <c r="Q274">
        <v>1428052</v>
      </c>
      <c r="R274" t="s">
        <v>1655</v>
      </c>
      <c r="S274" t="s">
        <v>84</v>
      </c>
      <c r="T274" t="s">
        <v>2152</v>
      </c>
      <c r="U274" t="s">
        <v>1709</v>
      </c>
      <c r="V274" t="b">
        <v>0</v>
      </c>
      <c r="W274" t="s">
        <v>2022</v>
      </c>
      <c r="X274" t="b">
        <v>0</v>
      </c>
      <c r="Y274" t="s">
        <v>2022</v>
      </c>
      <c r="Z274" t="s">
        <v>67</v>
      </c>
      <c r="AA274" t="s">
        <v>192</v>
      </c>
      <c r="AB274" t="s">
        <v>192</v>
      </c>
    </row>
    <row r="275" spans="1:28" x14ac:dyDescent="0.3">
      <c r="A275" t="s">
        <v>23</v>
      </c>
      <c r="B275" t="s">
        <v>2022</v>
      </c>
      <c r="C275" t="s">
        <v>1059</v>
      </c>
      <c r="D275" t="s">
        <v>44</v>
      </c>
      <c r="E275" s="1">
        <v>46055</v>
      </c>
      <c r="F275">
        <v>1</v>
      </c>
      <c r="G275">
        <v>1</v>
      </c>
      <c r="H275">
        <v>7</v>
      </c>
      <c r="I275">
        <v>4</v>
      </c>
      <c r="J275" t="s">
        <v>2841</v>
      </c>
      <c r="K275" t="s">
        <v>990</v>
      </c>
      <c r="L275" t="s">
        <v>2802</v>
      </c>
      <c r="M275" s="3" t="str">
        <f>HYPERLINK("https://ovidsp.ovid.com/ovidweb.cgi?T=JS&amp;NEWS=n&amp;CSC=Y&amp;PAGE=toc&amp;D=yrovft&amp;AN=02091979-000000000-00000","https://ovidsp.ovid.com/ovidweb.cgi?T=JS&amp;NEWS=n&amp;CSC=Y&amp;PAGE=toc&amp;D=yrovft&amp;AN=02091979-000000000-00000")</f>
        <v>https://ovidsp.ovid.com/ovidweb.cgi?T=JS&amp;NEWS=n&amp;CSC=Y&amp;PAGE=toc&amp;D=yrovft&amp;AN=02091979-000000000-00000</v>
      </c>
      <c r="N275" t="s">
        <v>1495</v>
      </c>
      <c r="O275" t="s">
        <v>2151</v>
      </c>
      <c r="P275" t="s">
        <v>2431</v>
      </c>
      <c r="Q275">
        <v>1428052</v>
      </c>
      <c r="R275" t="s">
        <v>2789</v>
      </c>
      <c r="S275" t="s">
        <v>84</v>
      </c>
      <c r="T275" t="s">
        <v>2152</v>
      </c>
      <c r="U275" t="s">
        <v>2565</v>
      </c>
      <c r="V275" t="b">
        <v>0</v>
      </c>
      <c r="W275" t="s">
        <v>2022</v>
      </c>
      <c r="X275" t="b">
        <v>0</v>
      </c>
      <c r="Y275" t="s">
        <v>2022</v>
      </c>
      <c r="Z275" t="s">
        <v>2022</v>
      </c>
      <c r="AA275" t="s">
        <v>192</v>
      </c>
      <c r="AB275" t="s">
        <v>192</v>
      </c>
    </row>
    <row r="276" spans="1:28" x14ac:dyDescent="0.3">
      <c r="A276" t="s">
        <v>533</v>
      </c>
      <c r="B276" t="s">
        <v>1066</v>
      </c>
      <c r="C276" t="s">
        <v>648</v>
      </c>
      <c r="D276" t="s">
        <v>44</v>
      </c>
      <c r="E276" s="1">
        <v>46055</v>
      </c>
      <c r="F276">
        <v>21</v>
      </c>
      <c r="G276">
        <v>1</v>
      </c>
      <c r="H276">
        <v>32</v>
      </c>
      <c r="I276">
        <v>2</v>
      </c>
      <c r="J276" t="s">
        <v>359</v>
      </c>
      <c r="K276" t="s">
        <v>1959</v>
      </c>
      <c r="L276" t="s">
        <v>2441</v>
      </c>
      <c r="M276" s="3" t="str">
        <f>HYPERLINK("https://ovidsp.ovid.com/ovidweb.cgi?T=JS&amp;NEWS=n&amp;CSC=Y&amp;PAGE=toc&amp;D=yrovft&amp;AN=00124784-000000000-00000","https://ovidsp.ovid.com/ovidweb.cgi?T=JS&amp;NEWS=n&amp;CSC=Y&amp;PAGE=toc&amp;D=yrovft&amp;AN=00124784-000000000-00000")</f>
        <v>https://ovidsp.ovid.com/ovidweb.cgi?T=JS&amp;NEWS=n&amp;CSC=Y&amp;PAGE=toc&amp;D=yrovft&amp;AN=00124784-000000000-00000</v>
      </c>
      <c r="N276" t="s">
        <v>1754</v>
      </c>
      <c r="O276" t="s">
        <v>2151</v>
      </c>
      <c r="P276" t="s">
        <v>2431</v>
      </c>
      <c r="Q276">
        <v>1428052</v>
      </c>
      <c r="R276" t="s">
        <v>1621</v>
      </c>
      <c r="S276" t="s">
        <v>84</v>
      </c>
      <c r="T276" t="s">
        <v>2152</v>
      </c>
      <c r="U276" t="s">
        <v>1043</v>
      </c>
      <c r="V276" t="b">
        <v>1</v>
      </c>
      <c r="W276" t="s">
        <v>139</v>
      </c>
      <c r="X276" t="b">
        <v>0</v>
      </c>
      <c r="Y276" t="s">
        <v>2022</v>
      </c>
      <c r="Z276" t="s">
        <v>1078</v>
      </c>
      <c r="AA276" t="s">
        <v>192</v>
      </c>
      <c r="AB276" t="s">
        <v>192</v>
      </c>
    </row>
    <row r="277" spans="1:28" x14ac:dyDescent="0.3">
      <c r="A277" t="s">
        <v>2064</v>
      </c>
      <c r="B277" t="s">
        <v>691</v>
      </c>
      <c r="C277" t="s">
        <v>3041</v>
      </c>
      <c r="D277" t="s">
        <v>44</v>
      </c>
      <c r="E277" s="1">
        <v>46055</v>
      </c>
      <c r="F277">
        <v>28</v>
      </c>
      <c r="G277">
        <v>1</v>
      </c>
      <c r="H277">
        <v>28</v>
      </c>
      <c r="I277">
        <v>10</v>
      </c>
      <c r="J277" t="s">
        <v>2634</v>
      </c>
      <c r="K277" t="s">
        <v>1525</v>
      </c>
      <c r="L277" t="s">
        <v>1771</v>
      </c>
      <c r="M277" s="3" t="str">
        <f>HYPERLINK("https://ovidsp.ovid.com/ovidweb.cgi?T=JS&amp;NEWS=n&amp;CSC=Y&amp;PAGE=toc&amp;D=yrovft&amp;AN=00024720-000000000-00000","https://ovidsp.ovid.com/ovidweb.cgi?T=JS&amp;NEWS=n&amp;CSC=Y&amp;PAGE=toc&amp;D=yrovft&amp;AN=00024720-000000000-00000")</f>
        <v>https://ovidsp.ovid.com/ovidweb.cgi?T=JS&amp;NEWS=n&amp;CSC=Y&amp;PAGE=toc&amp;D=yrovft&amp;AN=00024720-000000000-00000</v>
      </c>
      <c r="N277" t="s">
        <v>2022</v>
      </c>
      <c r="O277" t="s">
        <v>2151</v>
      </c>
      <c r="P277" t="s">
        <v>2431</v>
      </c>
      <c r="Q277">
        <v>1428052</v>
      </c>
      <c r="R277" t="s">
        <v>3129</v>
      </c>
      <c r="S277" t="s">
        <v>84</v>
      </c>
      <c r="T277" t="s">
        <v>2152</v>
      </c>
      <c r="U277" t="s">
        <v>2578</v>
      </c>
      <c r="V277" t="b">
        <v>0</v>
      </c>
      <c r="W277" t="s">
        <v>2022</v>
      </c>
      <c r="X277" t="b">
        <v>0</v>
      </c>
      <c r="Y277" t="s">
        <v>2022</v>
      </c>
      <c r="Z277" t="s">
        <v>2196</v>
      </c>
      <c r="AA277" t="s">
        <v>192</v>
      </c>
      <c r="AB277" t="s">
        <v>192</v>
      </c>
    </row>
    <row r="278" spans="1:28" x14ac:dyDescent="0.3">
      <c r="A278" t="s">
        <v>1556</v>
      </c>
      <c r="B278" t="s">
        <v>991</v>
      </c>
      <c r="C278" t="s">
        <v>496</v>
      </c>
      <c r="D278" t="s">
        <v>44</v>
      </c>
      <c r="E278" s="1">
        <v>46055</v>
      </c>
      <c r="F278">
        <v>28</v>
      </c>
      <c r="G278">
        <v>0</v>
      </c>
      <c r="H278">
        <v>40</v>
      </c>
      <c r="I278">
        <v>2</v>
      </c>
      <c r="J278" t="s">
        <v>1220</v>
      </c>
      <c r="K278" t="s">
        <v>2005</v>
      </c>
      <c r="L278" t="s">
        <v>712</v>
      </c>
      <c r="M278" s="3" t="str">
        <f>HYPERLINK("https://ovidsp.ovid.com/ovidweb.cgi?T=JS&amp;NEWS=n&amp;CSC=Y&amp;PAGE=toc&amp;D=yrovft&amp;AN=00124278-000000000-00000","https://ovidsp.ovid.com/ovidweb.cgi?T=JS&amp;NEWS=n&amp;CSC=Y&amp;PAGE=toc&amp;D=yrovft&amp;AN=00124278-000000000-00000")</f>
        <v>https://ovidsp.ovid.com/ovidweb.cgi?T=JS&amp;NEWS=n&amp;CSC=Y&amp;PAGE=toc&amp;D=yrovft&amp;AN=00124278-000000000-00000</v>
      </c>
      <c r="N278" t="s">
        <v>707</v>
      </c>
      <c r="O278" t="s">
        <v>2151</v>
      </c>
      <c r="P278" t="s">
        <v>2431</v>
      </c>
      <c r="Q278">
        <v>1428052</v>
      </c>
      <c r="R278" t="s">
        <v>2282</v>
      </c>
      <c r="S278" t="s">
        <v>84</v>
      </c>
      <c r="T278" t="s">
        <v>2152</v>
      </c>
      <c r="U278" t="s">
        <v>2959</v>
      </c>
      <c r="V278" t="b">
        <v>1</v>
      </c>
      <c r="W278" t="s">
        <v>2718</v>
      </c>
      <c r="X278" t="b">
        <v>0</v>
      </c>
      <c r="Y278" t="s">
        <v>2022</v>
      </c>
      <c r="Z278" t="s">
        <v>2196</v>
      </c>
      <c r="AA278" t="s">
        <v>192</v>
      </c>
      <c r="AB278" t="s">
        <v>192</v>
      </c>
    </row>
    <row r="279" spans="1:28" x14ac:dyDescent="0.3">
      <c r="A279" t="s">
        <v>739</v>
      </c>
      <c r="B279" t="s">
        <v>949</v>
      </c>
      <c r="C279" t="s">
        <v>3088</v>
      </c>
      <c r="D279" t="s">
        <v>44</v>
      </c>
      <c r="E279" s="1">
        <v>46055</v>
      </c>
      <c r="F279">
        <v>23</v>
      </c>
      <c r="G279">
        <v>1</v>
      </c>
      <c r="H279">
        <v>34</v>
      </c>
      <c r="I279">
        <v>3</v>
      </c>
      <c r="J279" t="s">
        <v>2585</v>
      </c>
      <c r="K279" t="s">
        <v>1959</v>
      </c>
      <c r="L279" t="s">
        <v>712</v>
      </c>
      <c r="M279" s="3" t="str">
        <f>HYPERLINK("https://ovidsp.ovid.com/ovidweb.cgi?T=JS&amp;NEWS=n&amp;CSC=Y&amp;PAGE=toc&amp;D=yrovft&amp;AN=00124635-000000000-00000","https://ovidsp.ovid.com/ovidweb.cgi?T=JS&amp;NEWS=n&amp;CSC=Y&amp;PAGE=toc&amp;D=yrovft&amp;AN=00124635-000000000-00000")</f>
        <v>https://ovidsp.ovid.com/ovidweb.cgi?T=JS&amp;NEWS=n&amp;CSC=Y&amp;PAGE=toc&amp;D=yrovft&amp;AN=00124635-000000000-00000</v>
      </c>
      <c r="N279" t="s">
        <v>1182</v>
      </c>
      <c r="O279" t="s">
        <v>2151</v>
      </c>
      <c r="P279" t="s">
        <v>2431</v>
      </c>
      <c r="Q279">
        <v>1428052</v>
      </c>
      <c r="R279" t="s">
        <v>2412</v>
      </c>
      <c r="S279" t="s">
        <v>84</v>
      </c>
      <c r="T279" t="s">
        <v>2152</v>
      </c>
      <c r="U279" t="s">
        <v>3071</v>
      </c>
      <c r="V279" t="b">
        <v>1</v>
      </c>
      <c r="W279" t="s">
        <v>1671</v>
      </c>
      <c r="X279" t="b">
        <v>0</v>
      </c>
      <c r="Y279" t="s">
        <v>2022</v>
      </c>
      <c r="Z279" t="s">
        <v>1351</v>
      </c>
      <c r="AA279" t="s">
        <v>192</v>
      </c>
      <c r="AB279" t="s">
        <v>192</v>
      </c>
    </row>
    <row r="280" spans="1:28" x14ac:dyDescent="0.3">
      <c r="A280" t="s">
        <v>1769</v>
      </c>
      <c r="B280" t="s">
        <v>2022</v>
      </c>
      <c r="C280" t="s">
        <v>2566</v>
      </c>
      <c r="D280" t="s">
        <v>44</v>
      </c>
      <c r="E280" s="1">
        <v>46055</v>
      </c>
      <c r="F280">
        <v>27</v>
      </c>
      <c r="G280">
        <v>1</v>
      </c>
      <c r="H280">
        <v>38</v>
      </c>
      <c r="I280">
        <v>1</v>
      </c>
      <c r="J280" t="s">
        <v>672</v>
      </c>
      <c r="K280" t="s">
        <v>1959</v>
      </c>
      <c r="L280" t="s">
        <v>2919</v>
      </c>
      <c r="M280" s="3" t="str">
        <f>HYPERLINK("https://ovidsp.ovid.com/ovidweb.cgi?T=JS&amp;NEWS=n&amp;CSC=Y&amp;PAGE=toc&amp;D=yrovft&amp;AN=01741002-000000000-00000","https://ovidsp.ovid.com/ovidweb.cgi?T=JS&amp;NEWS=n&amp;CSC=Y&amp;PAGE=toc&amp;D=yrovft&amp;AN=01741002-000000000-00000")</f>
        <v>https://ovidsp.ovid.com/ovidweb.cgi?T=JS&amp;NEWS=n&amp;CSC=Y&amp;PAGE=toc&amp;D=yrovft&amp;AN=01741002-000000000-00000</v>
      </c>
      <c r="N280" t="s">
        <v>455</v>
      </c>
      <c r="O280" t="s">
        <v>2151</v>
      </c>
      <c r="P280" t="s">
        <v>2431</v>
      </c>
      <c r="Q280">
        <v>1428052</v>
      </c>
      <c r="R280" t="s">
        <v>2546</v>
      </c>
      <c r="S280" t="s">
        <v>84</v>
      </c>
      <c r="T280" t="s">
        <v>2152</v>
      </c>
      <c r="U280" t="s">
        <v>890</v>
      </c>
      <c r="V280" t="b">
        <v>1</v>
      </c>
      <c r="W280" t="s">
        <v>2316</v>
      </c>
      <c r="X280" t="b">
        <v>0</v>
      </c>
      <c r="Y280" t="s">
        <v>2022</v>
      </c>
      <c r="Z280" t="s">
        <v>478</v>
      </c>
      <c r="AA280" t="s">
        <v>192</v>
      </c>
      <c r="AB280" t="s">
        <v>192</v>
      </c>
    </row>
    <row r="281" spans="1:28" x14ac:dyDescent="0.3">
      <c r="A281" t="s">
        <v>2176</v>
      </c>
      <c r="B281" t="s">
        <v>1916</v>
      </c>
      <c r="C281" t="s">
        <v>1428</v>
      </c>
      <c r="D281" t="s">
        <v>44</v>
      </c>
      <c r="E281" s="1">
        <v>46055</v>
      </c>
      <c r="F281">
        <v>220</v>
      </c>
      <c r="G281">
        <v>1</v>
      </c>
      <c r="H281">
        <v>242</v>
      </c>
      <c r="I281">
        <v>2</v>
      </c>
      <c r="J281" t="s">
        <v>2585</v>
      </c>
      <c r="K281" t="s">
        <v>1959</v>
      </c>
      <c r="L281" t="s">
        <v>712</v>
      </c>
      <c r="M281" s="3" t="str">
        <f>HYPERLINK("https://ovidsp.ovid.com/ovidweb.cgi?T=JS&amp;NEWS=n&amp;CSC=Y&amp;PAGE=toc&amp;D=yrovft&amp;AN=00019464-000000000-00000","https://ovidsp.ovid.com/ovidweb.cgi?T=JS&amp;NEWS=n&amp;CSC=Y&amp;PAGE=toc&amp;D=yrovft&amp;AN=00019464-000000000-00000")</f>
        <v>https://ovidsp.ovid.com/ovidweb.cgi?T=JS&amp;NEWS=n&amp;CSC=Y&amp;PAGE=toc&amp;D=yrovft&amp;AN=00019464-000000000-00000</v>
      </c>
      <c r="N281" t="s">
        <v>843</v>
      </c>
      <c r="O281" t="s">
        <v>2151</v>
      </c>
      <c r="P281" t="s">
        <v>2431</v>
      </c>
      <c r="Q281">
        <v>1428052</v>
      </c>
      <c r="R281" t="s">
        <v>726</v>
      </c>
      <c r="S281" t="s">
        <v>84</v>
      </c>
      <c r="T281" t="s">
        <v>2152</v>
      </c>
      <c r="U281" t="s">
        <v>416</v>
      </c>
      <c r="V281" t="b">
        <v>1</v>
      </c>
      <c r="W281" t="s">
        <v>847</v>
      </c>
      <c r="X281" t="b">
        <v>0</v>
      </c>
      <c r="Y281" t="s">
        <v>2022</v>
      </c>
      <c r="Z281" t="s">
        <v>2056</v>
      </c>
      <c r="AA281" t="s">
        <v>192</v>
      </c>
      <c r="AB281" t="s">
        <v>192</v>
      </c>
    </row>
    <row r="282" spans="1:28" x14ac:dyDescent="0.3">
      <c r="A282" t="s">
        <v>600</v>
      </c>
      <c r="B282" t="s">
        <v>2846</v>
      </c>
      <c r="C282" t="s">
        <v>794</v>
      </c>
      <c r="D282" t="s">
        <v>44</v>
      </c>
      <c r="E282" s="1">
        <v>46055</v>
      </c>
      <c r="F282">
        <v>26</v>
      </c>
      <c r="G282">
        <v>1</v>
      </c>
      <c r="H282">
        <v>37</v>
      </c>
      <c r="I282">
        <v>1</v>
      </c>
      <c r="J282" t="s">
        <v>672</v>
      </c>
      <c r="K282" t="s">
        <v>1959</v>
      </c>
      <c r="L282" t="s">
        <v>2919</v>
      </c>
      <c r="M282" s="3" t="str">
        <f>HYPERLINK("https://ovidsp.ovid.com/ovidweb.cgi?T=JS&amp;NEWS=n&amp;CSC=Y&amp;PAGE=toc&amp;D=yrovft&amp;AN=00001751-000000000-00000","https://ovidsp.ovid.com/ovidweb.cgi?T=JS&amp;NEWS=n&amp;CSC=Y&amp;PAGE=toc&amp;D=yrovft&amp;AN=00001751-000000000-00000")</f>
        <v>https://ovidsp.ovid.com/ovidweb.cgi?T=JS&amp;NEWS=n&amp;CSC=Y&amp;PAGE=toc&amp;D=yrovft&amp;AN=00001751-000000000-00000</v>
      </c>
      <c r="N282" t="s">
        <v>3132</v>
      </c>
      <c r="O282" t="s">
        <v>1691</v>
      </c>
      <c r="P282" t="s">
        <v>3147</v>
      </c>
      <c r="Q282">
        <v>1428051</v>
      </c>
      <c r="R282" t="s">
        <v>565</v>
      </c>
      <c r="S282" t="s">
        <v>84</v>
      </c>
      <c r="T282" t="s">
        <v>2152</v>
      </c>
      <c r="U282" t="s">
        <v>634</v>
      </c>
      <c r="V282" t="b">
        <v>1</v>
      </c>
      <c r="W282" t="s">
        <v>2549</v>
      </c>
      <c r="X282" t="b">
        <v>0</v>
      </c>
      <c r="Y282" t="s">
        <v>2022</v>
      </c>
      <c r="Z282" t="s">
        <v>2022</v>
      </c>
      <c r="AA282" t="s">
        <v>2947</v>
      </c>
      <c r="AB282" t="s">
        <v>1351</v>
      </c>
    </row>
    <row r="283" spans="1:28" x14ac:dyDescent="0.3">
      <c r="A283" t="s">
        <v>1044</v>
      </c>
      <c r="B283" t="s">
        <v>2197</v>
      </c>
      <c r="C283" t="s">
        <v>1446</v>
      </c>
      <c r="D283" t="s">
        <v>44</v>
      </c>
      <c r="E283" s="1">
        <v>46055</v>
      </c>
      <c r="F283">
        <v>16</v>
      </c>
      <c r="G283">
        <v>1</v>
      </c>
      <c r="H283">
        <v>37</v>
      </c>
      <c r="I283">
        <v>1</v>
      </c>
      <c r="J283" t="s">
        <v>2035</v>
      </c>
      <c r="K283" t="s">
        <v>2011</v>
      </c>
      <c r="L283" t="s">
        <v>2919</v>
      </c>
      <c r="M283" s="3" t="str">
        <f>HYPERLINK("https://ovidsp.ovid.com/ovidweb.cgi?T=JS&amp;NEWS=n&amp;CSC=Y&amp;PAGE=toc&amp;D=yrovft&amp;AN=00001782-000000000-00000","https://ovidsp.ovid.com/ovidweb.cgi?T=JS&amp;NEWS=n&amp;CSC=Y&amp;PAGE=toc&amp;D=yrovft&amp;AN=00001782-000000000-00000")</f>
        <v>https://ovidsp.ovid.com/ovidweb.cgi?T=JS&amp;NEWS=n&amp;CSC=Y&amp;PAGE=toc&amp;D=yrovft&amp;AN=00001782-000000000-00000</v>
      </c>
      <c r="N283" t="s">
        <v>1122</v>
      </c>
      <c r="O283" t="s">
        <v>2151</v>
      </c>
      <c r="P283" t="s">
        <v>2431</v>
      </c>
      <c r="Q283">
        <v>1428052</v>
      </c>
      <c r="R283" t="s">
        <v>1289</v>
      </c>
      <c r="S283" t="s">
        <v>84</v>
      </c>
      <c r="T283" t="s">
        <v>2152</v>
      </c>
      <c r="U283" t="s">
        <v>2189</v>
      </c>
      <c r="V283" t="b">
        <v>1</v>
      </c>
      <c r="W283" t="s">
        <v>2278</v>
      </c>
      <c r="X283" t="b">
        <v>0</v>
      </c>
      <c r="Y283" t="s">
        <v>2022</v>
      </c>
      <c r="Z283" t="s">
        <v>478</v>
      </c>
      <c r="AA283" t="s">
        <v>192</v>
      </c>
      <c r="AB283" t="s">
        <v>192</v>
      </c>
    </row>
    <row r="284" spans="1:28" x14ac:dyDescent="0.3">
      <c r="A284" t="s">
        <v>3000</v>
      </c>
      <c r="B284" t="s">
        <v>2022</v>
      </c>
      <c r="C284" t="s">
        <v>1891</v>
      </c>
      <c r="D284" t="s">
        <v>44</v>
      </c>
      <c r="E284" s="1">
        <v>46055</v>
      </c>
      <c r="F284">
        <v>68</v>
      </c>
      <c r="G284">
        <v>1</v>
      </c>
      <c r="H284">
        <v>89</v>
      </c>
      <c r="I284">
        <v>1</v>
      </c>
      <c r="J284" t="s">
        <v>2035</v>
      </c>
      <c r="K284" t="s">
        <v>2011</v>
      </c>
      <c r="L284" t="s">
        <v>2919</v>
      </c>
      <c r="M284" s="3" t="str">
        <f>HYPERLINK("https://ovidsp.ovid.com/ovidweb.cgi?T=JS&amp;NEWS=n&amp;CSC=Y&amp;PAGE=toc&amp;D=yrovft&amp;AN=02118582-000000000-00000","https://ovidsp.ovid.com/ovidweb.cgi?T=JS&amp;NEWS=n&amp;CSC=Y&amp;PAGE=toc&amp;D=yrovft&amp;AN=02118582-000000000-00000")</f>
        <v>https://ovidsp.ovid.com/ovidweb.cgi?T=JS&amp;NEWS=n&amp;CSC=Y&amp;PAGE=toc&amp;D=yrovft&amp;AN=02118582-000000000-00000</v>
      </c>
      <c r="N284" t="s">
        <v>2020</v>
      </c>
      <c r="O284" t="s">
        <v>2151</v>
      </c>
      <c r="P284" t="s">
        <v>2431</v>
      </c>
      <c r="Q284">
        <v>1428052</v>
      </c>
      <c r="R284" t="s">
        <v>222</v>
      </c>
      <c r="S284" t="s">
        <v>84</v>
      </c>
      <c r="T284" t="s">
        <v>2152</v>
      </c>
      <c r="U284" t="s">
        <v>1414</v>
      </c>
      <c r="V284" t="b">
        <v>1</v>
      </c>
      <c r="W284" t="s">
        <v>52</v>
      </c>
      <c r="X284" t="b">
        <v>0</v>
      </c>
      <c r="Y284" t="s">
        <v>2022</v>
      </c>
      <c r="Z284" t="s">
        <v>1351</v>
      </c>
      <c r="AA284" t="s">
        <v>192</v>
      </c>
      <c r="AB284" t="s">
        <v>192</v>
      </c>
    </row>
    <row r="285" spans="1:28" x14ac:dyDescent="0.3">
      <c r="A285" t="s">
        <v>2483</v>
      </c>
      <c r="B285" t="s">
        <v>2272</v>
      </c>
      <c r="C285" t="s">
        <v>420</v>
      </c>
      <c r="D285" t="s">
        <v>44</v>
      </c>
      <c r="E285" s="1">
        <v>46055</v>
      </c>
      <c r="F285">
        <v>1</v>
      </c>
      <c r="G285">
        <v>1</v>
      </c>
      <c r="H285">
        <v>18</v>
      </c>
      <c r="I285">
        <v>1</v>
      </c>
      <c r="J285" t="s">
        <v>3141</v>
      </c>
      <c r="K285" t="s">
        <v>2985</v>
      </c>
      <c r="L285" t="s">
        <v>2919</v>
      </c>
      <c r="M285" s="3" t="str">
        <f>HYPERLINK("https://ovidsp.ovid.com/ovidweb.cgi?T=JS&amp;NEWS=n&amp;CSC=Y&amp;PAGE=toc&amp;D=yrovft&amp;AN=01412499-000000000-00000","https://ovidsp.ovid.com/ovidweb.cgi?T=JS&amp;NEWS=n&amp;CSC=Y&amp;PAGE=toc&amp;D=yrovft&amp;AN=01412499-000000000-00000")</f>
        <v>https://ovidsp.ovid.com/ovidweb.cgi?T=JS&amp;NEWS=n&amp;CSC=Y&amp;PAGE=toc&amp;D=yrovft&amp;AN=01412499-000000000-00000</v>
      </c>
      <c r="N285" t="s">
        <v>2993</v>
      </c>
      <c r="O285" t="s">
        <v>2151</v>
      </c>
      <c r="P285" t="s">
        <v>2431</v>
      </c>
      <c r="Q285">
        <v>1428052</v>
      </c>
      <c r="R285" t="s">
        <v>3104</v>
      </c>
      <c r="S285" t="s">
        <v>84</v>
      </c>
      <c r="T285" t="s">
        <v>2152</v>
      </c>
      <c r="U285" t="s">
        <v>960</v>
      </c>
      <c r="V285" t="b">
        <v>1</v>
      </c>
      <c r="W285" t="s">
        <v>2437</v>
      </c>
      <c r="X285" t="b">
        <v>0</v>
      </c>
      <c r="Y285" t="s">
        <v>2022</v>
      </c>
      <c r="Z285" t="s">
        <v>478</v>
      </c>
      <c r="AA285" t="s">
        <v>192</v>
      </c>
      <c r="AB285" t="s">
        <v>192</v>
      </c>
    </row>
    <row r="286" spans="1:28" x14ac:dyDescent="0.3">
      <c r="A286" t="s">
        <v>2613</v>
      </c>
      <c r="B286" t="s">
        <v>2579</v>
      </c>
      <c r="C286" t="s">
        <v>2022</v>
      </c>
      <c r="D286" t="s">
        <v>44</v>
      </c>
      <c r="E286" s="1">
        <v>46055</v>
      </c>
      <c r="F286">
        <v>30</v>
      </c>
      <c r="G286">
        <v>1</v>
      </c>
      <c r="H286">
        <v>41</v>
      </c>
      <c r="I286">
        <v>1</v>
      </c>
      <c r="J286" t="s">
        <v>672</v>
      </c>
      <c r="K286" t="s">
        <v>1959</v>
      </c>
      <c r="L286" t="s">
        <v>2919</v>
      </c>
      <c r="M286" s="3" t="str">
        <f>HYPERLINK("https://ovidsp.ovid.com/ovidweb.cgi?T=JS&amp;NEWS=n&amp;CSC=Y&amp;PAGE=toc&amp;D=yrovft&amp;AN=00005382-000000000-00000","https://ovidsp.ovid.com/ovidweb.cgi?T=JS&amp;NEWS=n&amp;CSC=Y&amp;PAGE=toc&amp;D=yrovft&amp;AN=00005382-000000000-00000")</f>
        <v>https://ovidsp.ovid.com/ovidweb.cgi?T=JS&amp;NEWS=n&amp;CSC=Y&amp;PAGE=toc&amp;D=yrovft&amp;AN=00005382-000000000-00000</v>
      </c>
      <c r="N286" t="s">
        <v>3118</v>
      </c>
      <c r="O286" t="s">
        <v>2151</v>
      </c>
      <c r="P286" t="s">
        <v>2431</v>
      </c>
      <c r="Q286">
        <v>1428052</v>
      </c>
      <c r="R286" t="s">
        <v>2036</v>
      </c>
      <c r="S286" t="s">
        <v>84</v>
      </c>
      <c r="T286" t="s">
        <v>2152</v>
      </c>
      <c r="U286" t="s">
        <v>2939</v>
      </c>
      <c r="V286" t="b">
        <v>1</v>
      </c>
      <c r="W286" t="s">
        <v>1664</v>
      </c>
      <c r="X286" t="b">
        <v>0</v>
      </c>
      <c r="Y286" t="s">
        <v>2022</v>
      </c>
      <c r="Z286" t="s">
        <v>831</v>
      </c>
      <c r="AA286" t="s">
        <v>192</v>
      </c>
      <c r="AB286" t="s">
        <v>192</v>
      </c>
    </row>
    <row r="287" spans="1:28" x14ac:dyDescent="0.3">
      <c r="A287" t="s">
        <v>1294</v>
      </c>
      <c r="B287" t="s">
        <v>2022</v>
      </c>
      <c r="C287" t="s">
        <v>1936</v>
      </c>
      <c r="D287" t="s">
        <v>44</v>
      </c>
      <c r="E287" s="1">
        <v>46055</v>
      </c>
      <c r="F287">
        <v>1</v>
      </c>
      <c r="G287">
        <v>1</v>
      </c>
      <c r="H287">
        <v>7</v>
      </c>
      <c r="I287">
        <v>4</v>
      </c>
      <c r="J287" t="s">
        <v>452</v>
      </c>
      <c r="K287" t="s">
        <v>728</v>
      </c>
      <c r="L287" t="s">
        <v>2771</v>
      </c>
      <c r="M287" s="3" t="str">
        <f>HYPERLINK("https://ovidsp.ovid.com/ovidweb.cgi?T=JS&amp;NEWS=n&amp;CSC=Y&amp;PAGE=toc&amp;D=yrovft&amp;AN=02245099-000000000-00000","https://ovidsp.ovid.com/ovidweb.cgi?T=JS&amp;NEWS=n&amp;CSC=Y&amp;PAGE=toc&amp;D=yrovft&amp;AN=02245099-000000000-00000")</f>
        <v>https://ovidsp.ovid.com/ovidweb.cgi?T=JS&amp;NEWS=n&amp;CSC=Y&amp;PAGE=toc&amp;D=yrovft&amp;AN=02245099-000000000-00000</v>
      </c>
      <c r="N287" t="s">
        <v>1453</v>
      </c>
      <c r="O287" t="s">
        <v>2151</v>
      </c>
      <c r="P287" t="s">
        <v>2431</v>
      </c>
      <c r="Q287">
        <v>1428052</v>
      </c>
      <c r="R287" t="s">
        <v>656</v>
      </c>
      <c r="S287" t="s">
        <v>84</v>
      </c>
      <c r="T287" t="s">
        <v>2152</v>
      </c>
      <c r="U287" t="s">
        <v>1598</v>
      </c>
      <c r="V287" t="b">
        <v>0</v>
      </c>
      <c r="W287" t="s">
        <v>2022</v>
      </c>
      <c r="X287" t="b">
        <v>0</v>
      </c>
      <c r="Y287" t="s">
        <v>2022</v>
      </c>
      <c r="Z287" t="s">
        <v>274</v>
      </c>
      <c r="AA287" t="s">
        <v>192</v>
      </c>
      <c r="AB287" t="s">
        <v>192</v>
      </c>
    </row>
    <row r="288" spans="1:28" x14ac:dyDescent="0.3">
      <c r="A288" t="s">
        <v>1729</v>
      </c>
      <c r="B288" t="s">
        <v>625</v>
      </c>
      <c r="C288" t="s">
        <v>896</v>
      </c>
      <c r="D288" t="s">
        <v>44</v>
      </c>
      <c r="E288" s="1">
        <v>46055</v>
      </c>
      <c r="F288">
        <v>78</v>
      </c>
      <c r="G288">
        <v>1</v>
      </c>
      <c r="H288">
        <v>100</v>
      </c>
      <c r="I288">
        <v>2</v>
      </c>
      <c r="J288" t="s">
        <v>2585</v>
      </c>
      <c r="K288" t="s">
        <v>1959</v>
      </c>
      <c r="L288" t="s">
        <v>712</v>
      </c>
      <c r="M288" s="3" t="str">
        <f>HYPERLINK("https://ovidsp.ovid.com/ovidweb.cgi?T=JS&amp;NEWS=n&amp;CSC=Y&amp;PAGE=toc&amp;D=yrovft&amp;AN=01586154-000000000-00000","https://ovidsp.ovid.com/ovidweb.cgi?T=JS&amp;NEWS=n&amp;CSC=Y&amp;PAGE=toc&amp;D=yrovft&amp;AN=01586154-000000000-00000")</f>
        <v>https://ovidsp.ovid.com/ovidweb.cgi?T=JS&amp;NEWS=n&amp;CSC=Y&amp;PAGE=toc&amp;D=yrovft&amp;AN=01586154-000000000-00000</v>
      </c>
      <c r="N288" t="s">
        <v>1849</v>
      </c>
      <c r="O288" t="s">
        <v>2151</v>
      </c>
      <c r="P288" t="s">
        <v>2431</v>
      </c>
      <c r="Q288">
        <v>1428052</v>
      </c>
      <c r="R288" t="s">
        <v>2243</v>
      </c>
      <c r="S288" t="s">
        <v>84</v>
      </c>
      <c r="T288" t="s">
        <v>2152</v>
      </c>
      <c r="U288" t="s">
        <v>487</v>
      </c>
      <c r="V288" t="b">
        <v>1</v>
      </c>
      <c r="W288" t="s">
        <v>3160</v>
      </c>
      <c r="X288" t="b">
        <v>0</v>
      </c>
      <c r="Y288" t="s">
        <v>2022</v>
      </c>
      <c r="Z288" t="s">
        <v>2022</v>
      </c>
      <c r="AA288" t="s">
        <v>192</v>
      </c>
      <c r="AB288" t="s">
        <v>192</v>
      </c>
    </row>
    <row r="289" spans="1:28" x14ac:dyDescent="0.3">
      <c r="A289" t="s">
        <v>82</v>
      </c>
      <c r="B289" t="s">
        <v>100</v>
      </c>
      <c r="C289" t="s">
        <v>2194</v>
      </c>
      <c r="D289" t="s">
        <v>44</v>
      </c>
      <c r="E289" s="1">
        <v>46055</v>
      </c>
      <c r="F289">
        <v>22</v>
      </c>
      <c r="G289">
        <v>1</v>
      </c>
      <c r="H289">
        <v>33</v>
      </c>
      <c r="I289">
        <v>1</v>
      </c>
      <c r="J289" t="s">
        <v>672</v>
      </c>
      <c r="K289" t="s">
        <v>1959</v>
      </c>
      <c r="L289" t="s">
        <v>2919</v>
      </c>
      <c r="M289" s="3" t="str">
        <f>HYPERLINK("https://ovidsp.ovid.com/ovidweb.cgi?T=JS&amp;NEWS=n&amp;CSC=Y&amp;PAGE=toc&amp;D=yrovft&amp;AN=00043860-000000000-00000","https://ovidsp.ovid.com/ovidweb.cgi?T=JS&amp;NEWS=n&amp;CSC=Y&amp;PAGE=toc&amp;D=yrovft&amp;AN=00043860-000000000-00000")</f>
        <v>https://ovidsp.ovid.com/ovidweb.cgi?T=JS&amp;NEWS=n&amp;CSC=Y&amp;PAGE=toc&amp;D=yrovft&amp;AN=00043860-000000000-00000</v>
      </c>
      <c r="N289" t="s">
        <v>1543</v>
      </c>
      <c r="O289" t="s">
        <v>2151</v>
      </c>
      <c r="P289" t="s">
        <v>2431</v>
      </c>
      <c r="Q289">
        <v>1428052</v>
      </c>
      <c r="R289" t="s">
        <v>2001</v>
      </c>
      <c r="S289" t="s">
        <v>84</v>
      </c>
      <c r="T289" t="s">
        <v>2152</v>
      </c>
      <c r="U289" t="s">
        <v>697</v>
      </c>
      <c r="V289" t="b">
        <v>1</v>
      </c>
      <c r="W289" t="s">
        <v>1576</v>
      </c>
      <c r="X289" t="b">
        <v>0</v>
      </c>
      <c r="Y289" t="s">
        <v>2022</v>
      </c>
      <c r="Z289" t="s">
        <v>478</v>
      </c>
      <c r="AA289" t="s">
        <v>192</v>
      </c>
      <c r="AB289" t="s">
        <v>192</v>
      </c>
    </row>
    <row r="290" spans="1:28" x14ac:dyDescent="0.3">
      <c r="A290" t="s">
        <v>1740</v>
      </c>
      <c r="B290" t="s">
        <v>1747</v>
      </c>
      <c r="C290" t="s">
        <v>121</v>
      </c>
      <c r="D290" t="s">
        <v>44</v>
      </c>
      <c r="E290" s="1">
        <v>46055</v>
      </c>
      <c r="F290">
        <v>193</v>
      </c>
      <c r="G290">
        <v>1</v>
      </c>
      <c r="H290">
        <v>215</v>
      </c>
      <c r="I290">
        <v>2</v>
      </c>
      <c r="J290" t="s">
        <v>2585</v>
      </c>
      <c r="K290" t="s">
        <v>1959</v>
      </c>
      <c r="L290" t="s">
        <v>712</v>
      </c>
      <c r="M290" s="3" t="str">
        <f>HYPERLINK("https://ovidsp.ovid.com/ovidweb.cgi?T=JS&amp;NEWS=n&amp;CSC=Y&amp;PAGE=toc&amp;D=yrovft&amp;AN=00076734-000000000-00000","https://ovidsp.ovid.com/ovidweb.cgi?T=JS&amp;NEWS=n&amp;CSC=Y&amp;PAGE=toc&amp;D=yrovft&amp;AN=00076734-000000000-00000")</f>
        <v>https://ovidsp.ovid.com/ovidweb.cgi?T=JS&amp;NEWS=n&amp;CSC=Y&amp;PAGE=toc&amp;D=yrovft&amp;AN=00076734-000000000-00000</v>
      </c>
      <c r="N290" t="s">
        <v>380</v>
      </c>
      <c r="O290" t="s">
        <v>2151</v>
      </c>
      <c r="P290" t="s">
        <v>2431</v>
      </c>
      <c r="Q290">
        <v>1428052</v>
      </c>
      <c r="R290" t="s">
        <v>898</v>
      </c>
      <c r="S290" t="s">
        <v>84</v>
      </c>
      <c r="T290" t="s">
        <v>2152</v>
      </c>
      <c r="U290" t="s">
        <v>3072</v>
      </c>
      <c r="V290" t="b">
        <v>1</v>
      </c>
      <c r="W290" t="s">
        <v>2949</v>
      </c>
      <c r="X290" t="b">
        <v>0</v>
      </c>
      <c r="Y290" t="s">
        <v>2022</v>
      </c>
      <c r="Z290" t="s">
        <v>1351</v>
      </c>
      <c r="AA290" t="s">
        <v>192</v>
      </c>
      <c r="AB290" t="s">
        <v>192</v>
      </c>
    </row>
    <row r="291" spans="1:28" x14ac:dyDescent="0.3">
      <c r="A291" t="s">
        <v>167</v>
      </c>
      <c r="B291" t="s">
        <v>2022</v>
      </c>
      <c r="C291" t="s">
        <v>1239</v>
      </c>
      <c r="D291" t="s">
        <v>44</v>
      </c>
      <c r="E291" s="1">
        <v>46055</v>
      </c>
      <c r="F291">
        <v>1</v>
      </c>
      <c r="G291">
        <v>1</v>
      </c>
      <c r="H291">
        <v>7</v>
      </c>
      <c r="I291">
        <v>1</v>
      </c>
      <c r="J291" t="s">
        <v>2065</v>
      </c>
      <c r="K291" t="s">
        <v>1695</v>
      </c>
      <c r="L291" t="s">
        <v>2441</v>
      </c>
      <c r="M291" s="3" t="str">
        <f>HYPERLINK("https://ovidsp.ovid.com/ovidweb.cgi?T=JS&amp;NEWS=n&amp;CSC=Y&amp;PAGE=toc&amp;D=yrovft&amp;AN=02186187-000000000-00000","https://ovidsp.ovid.com/ovidweb.cgi?T=JS&amp;NEWS=n&amp;CSC=Y&amp;PAGE=toc&amp;D=yrovft&amp;AN=02186187-000000000-00000")</f>
        <v>https://ovidsp.ovid.com/ovidweb.cgi?T=JS&amp;NEWS=n&amp;CSC=Y&amp;PAGE=toc&amp;D=yrovft&amp;AN=02186187-000000000-00000</v>
      </c>
      <c r="N291" t="s">
        <v>3139</v>
      </c>
      <c r="O291" t="s">
        <v>2151</v>
      </c>
      <c r="P291" t="s">
        <v>2431</v>
      </c>
      <c r="Q291">
        <v>1428052</v>
      </c>
      <c r="R291" t="s">
        <v>2430</v>
      </c>
      <c r="S291" t="s">
        <v>84</v>
      </c>
      <c r="T291" t="s">
        <v>2152</v>
      </c>
      <c r="U291" t="s">
        <v>2306</v>
      </c>
      <c r="V291" t="b">
        <v>0</v>
      </c>
      <c r="W291" t="s">
        <v>2022</v>
      </c>
      <c r="X291" t="b">
        <v>0</v>
      </c>
      <c r="Y291" t="s">
        <v>2022</v>
      </c>
      <c r="Z291" t="s">
        <v>2022</v>
      </c>
      <c r="AA291" t="s">
        <v>192</v>
      </c>
      <c r="AB291" t="s">
        <v>192</v>
      </c>
    </row>
    <row r="292" spans="1:28" x14ac:dyDescent="0.3">
      <c r="A292" t="s">
        <v>2563</v>
      </c>
      <c r="B292" t="s">
        <v>2126</v>
      </c>
      <c r="C292" t="s">
        <v>2022</v>
      </c>
      <c r="D292" t="s">
        <v>44</v>
      </c>
      <c r="E292" s="1">
        <v>46055</v>
      </c>
      <c r="F292">
        <v>47</v>
      </c>
      <c r="G292">
        <v>1</v>
      </c>
      <c r="H292">
        <v>50</v>
      </c>
      <c r="I292">
        <v>1</v>
      </c>
      <c r="J292" t="s">
        <v>2215</v>
      </c>
      <c r="K292" t="s">
        <v>2602</v>
      </c>
      <c r="L292" t="s">
        <v>2919</v>
      </c>
      <c r="M292" s="3" t="str">
        <f>HYPERLINK("https://ovidsp.ovid.com/ovidweb.cgi?T=JS&amp;NEWS=n&amp;CSC=Y&amp;PAGE=toc&amp;D=yrovft&amp;AN=02273805-000000000-00000","https://ovidsp.ovid.com/ovidweb.cgi?T=JS&amp;NEWS=n&amp;CSC=Y&amp;PAGE=toc&amp;D=yrovft&amp;AN=02273805-000000000-00000")</f>
        <v>https://ovidsp.ovid.com/ovidweb.cgi?T=JS&amp;NEWS=n&amp;CSC=Y&amp;PAGE=toc&amp;D=yrovft&amp;AN=02273805-000000000-00000</v>
      </c>
      <c r="N292" t="s">
        <v>424</v>
      </c>
      <c r="O292" t="s">
        <v>2151</v>
      </c>
      <c r="P292" t="s">
        <v>2431</v>
      </c>
      <c r="Q292">
        <v>1428052</v>
      </c>
      <c r="R292" t="s">
        <v>2247</v>
      </c>
      <c r="S292" t="s">
        <v>84</v>
      </c>
      <c r="T292" t="s">
        <v>2152</v>
      </c>
      <c r="U292" t="s">
        <v>355</v>
      </c>
      <c r="V292" t="b">
        <v>0</v>
      </c>
      <c r="W292" t="s">
        <v>2022</v>
      </c>
      <c r="X292" t="b">
        <v>0</v>
      </c>
      <c r="Y292" t="s">
        <v>2022</v>
      </c>
      <c r="Z292" t="s">
        <v>2022</v>
      </c>
      <c r="AA292" t="s">
        <v>192</v>
      </c>
      <c r="AB292" t="s">
        <v>192</v>
      </c>
    </row>
    <row r="293" spans="1:28" x14ac:dyDescent="0.3">
      <c r="A293" t="s">
        <v>1290</v>
      </c>
      <c r="B293" t="s">
        <v>2086</v>
      </c>
      <c r="C293" t="s">
        <v>2022</v>
      </c>
      <c r="D293" t="s">
        <v>44</v>
      </c>
      <c r="E293" s="1">
        <v>46055</v>
      </c>
      <c r="F293">
        <v>39</v>
      </c>
      <c r="G293">
        <v>1</v>
      </c>
      <c r="H293">
        <v>46</v>
      </c>
      <c r="I293">
        <v>4</v>
      </c>
      <c r="J293" t="s">
        <v>3016</v>
      </c>
      <c r="K293" t="s">
        <v>1959</v>
      </c>
      <c r="L293" t="s">
        <v>701</v>
      </c>
      <c r="M293" s="3" t="str">
        <f>HYPERLINK("https://ovidsp.ovid.com/ovidweb.cgi?T=JS&amp;NEWS=n&amp;CSC=Y&amp;PAGE=toc&amp;D=yrovft&amp;AN=01274882-000000000-00000","https://ovidsp.ovid.com/ovidweb.cgi?T=JS&amp;NEWS=n&amp;CSC=Y&amp;PAGE=toc&amp;D=yrovft&amp;AN=01274882-000000000-00000")</f>
        <v>https://ovidsp.ovid.com/ovidweb.cgi?T=JS&amp;NEWS=n&amp;CSC=Y&amp;PAGE=toc&amp;D=yrovft&amp;AN=01274882-000000000-00000</v>
      </c>
      <c r="N293" t="s">
        <v>1074</v>
      </c>
      <c r="O293" t="s">
        <v>2151</v>
      </c>
      <c r="P293" t="s">
        <v>2431</v>
      </c>
      <c r="Q293">
        <v>1428052</v>
      </c>
      <c r="R293" t="s">
        <v>2911</v>
      </c>
      <c r="S293" t="s">
        <v>84</v>
      </c>
      <c r="T293" t="s">
        <v>2152</v>
      </c>
      <c r="U293" t="s">
        <v>858</v>
      </c>
      <c r="V293" t="b">
        <v>1</v>
      </c>
      <c r="W293" t="s">
        <v>1683</v>
      </c>
      <c r="X293" t="b">
        <v>0</v>
      </c>
      <c r="Y293" t="s">
        <v>2022</v>
      </c>
      <c r="Z293" t="s">
        <v>2334</v>
      </c>
      <c r="AA293" t="s">
        <v>192</v>
      </c>
      <c r="AB293" t="s">
        <v>192</v>
      </c>
    </row>
    <row r="294" spans="1:28" x14ac:dyDescent="0.3">
      <c r="A294" t="s">
        <v>55</v>
      </c>
      <c r="B294" t="s">
        <v>3023</v>
      </c>
      <c r="C294" t="s">
        <v>1094</v>
      </c>
      <c r="D294" t="s">
        <v>44</v>
      </c>
      <c r="E294" s="1">
        <v>46055</v>
      </c>
      <c r="F294">
        <v>42</v>
      </c>
      <c r="G294">
        <v>1</v>
      </c>
      <c r="H294">
        <v>53</v>
      </c>
      <c r="I294">
        <v>1</v>
      </c>
      <c r="J294" t="s">
        <v>672</v>
      </c>
      <c r="K294" t="s">
        <v>1959</v>
      </c>
      <c r="L294" t="s">
        <v>2919</v>
      </c>
      <c r="M294" s="3" t="str">
        <f>HYPERLINK("https://ovidsp.ovid.com/ovidweb.cgi?T=JS&amp;NEWS=n&amp;CSC=Y&amp;PAGE=toc&amp;D=yrovft&amp;AN=00152192-000000000-00000","https://ovidsp.ovid.com/ovidweb.cgi?T=JS&amp;NEWS=n&amp;CSC=Y&amp;PAGE=toc&amp;D=yrovft&amp;AN=00152192-000000000-00000")</f>
        <v>https://ovidsp.ovid.com/ovidweb.cgi?T=JS&amp;NEWS=n&amp;CSC=Y&amp;PAGE=toc&amp;D=yrovft&amp;AN=00152192-000000000-00000</v>
      </c>
      <c r="N294" t="s">
        <v>615</v>
      </c>
      <c r="O294" t="s">
        <v>2151</v>
      </c>
      <c r="P294" t="s">
        <v>2431</v>
      </c>
      <c r="Q294">
        <v>1428052</v>
      </c>
      <c r="R294" t="s">
        <v>2833</v>
      </c>
      <c r="S294" t="s">
        <v>84</v>
      </c>
      <c r="T294" t="s">
        <v>2152</v>
      </c>
      <c r="U294" t="s">
        <v>1956</v>
      </c>
      <c r="V294" t="b">
        <v>1</v>
      </c>
      <c r="W294" t="s">
        <v>519</v>
      </c>
      <c r="X294" t="b">
        <v>0</v>
      </c>
      <c r="Y294" t="s">
        <v>2022</v>
      </c>
      <c r="Z294" t="s">
        <v>2440</v>
      </c>
      <c r="AA294" t="s">
        <v>192</v>
      </c>
      <c r="AB294" t="s">
        <v>192</v>
      </c>
    </row>
    <row r="295" spans="1:28" x14ac:dyDescent="0.3">
      <c r="A295" t="s">
        <v>1999</v>
      </c>
      <c r="B295" t="s">
        <v>800</v>
      </c>
      <c r="C295" t="s">
        <v>2022</v>
      </c>
      <c r="D295" t="s">
        <v>44</v>
      </c>
      <c r="E295" s="1">
        <v>46055</v>
      </c>
      <c r="F295">
        <v>27</v>
      </c>
      <c r="G295">
        <v>1</v>
      </c>
      <c r="H295">
        <v>38</v>
      </c>
      <c r="I295">
        <v>1</v>
      </c>
      <c r="J295" t="s">
        <v>672</v>
      </c>
      <c r="K295" t="s">
        <v>1959</v>
      </c>
      <c r="L295" t="s">
        <v>2919</v>
      </c>
      <c r="M295" s="3" t="str">
        <f>HYPERLINK("https://ovidsp.ovid.com/ovidweb.cgi?T=JS&amp;NEWS=n&amp;CSC=Y&amp;PAGE=toc&amp;D=yrovft&amp;AN=00008526-000000000-00000","https://ovidsp.ovid.com/ovidweb.cgi?T=JS&amp;NEWS=n&amp;CSC=Y&amp;PAGE=toc&amp;D=yrovft&amp;AN=00008526-000000000-00000")</f>
        <v>https://ovidsp.ovid.com/ovidweb.cgi?T=JS&amp;NEWS=n&amp;CSC=Y&amp;PAGE=toc&amp;D=yrovft&amp;AN=00008526-000000000-00000</v>
      </c>
      <c r="N295" t="s">
        <v>480</v>
      </c>
      <c r="O295" t="s">
        <v>2151</v>
      </c>
      <c r="P295" t="s">
        <v>2431</v>
      </c>
      <c r="Q295">
        <v>1428052</v>
      </c>
      <c r="R295" t="s">
        <v>337</v>
      </c>
      <c r="S295" t="s">
        <v>84</v>
      </c>
      <c r="T295" t="s">
        <v>2152</v>
      </c>
      <c r="U295" t="s">
        <v>1563</v>
      </c>
      <c r="V295" t="b">
        <v>1</v>
      </c>
      <c r="W295" t="s">
        <v>1603</v>
      </c>
      <c r="X295" t="b">
        <v>0</v>
      </c>
      <c r="Y295" t="s">
        <v>2022</v>
      </c>
      <c r="Z295" t="s">
        <v>831</v>
      </c>
      <c r="AA295" t="s">
        <v>192</v>
      </c>
      <c r="AB295" t="s">
        <v>192</v>
      </c>
    </row>
    <row r="296" spans="1:28" x14ac:dyDescent="0.3">
      <c r="A296" t="s">
        <v>1006</v>
      </c>
      <c r="B296" t="s">
        <v>2022</v>
      </c>
      <c r="C296" t="s">
        <v>3086</v>
      </c>
      <c r="D296" t="s">
        <v>44</v>
      </c>
      <c r="E296" s="1">
        <v>46055</v>
      </c>
      <c r="F296">
        <v>1</v>
      </c>
      <c r="G296">
        <v>1</v>
      </c>
      <c r="H296">
        <v>4</v>
      </c>
      <c r="I296">
        <v>1</v>
      </c>
      <c r="J296" t="s">
        <v>2215</v>
      </c>
      <c r="K296" t="s">
        <v>2602</v>
      </c>
      <c r="L296" t="s">
        <v>2919</v>
      </c>
      <c r="M296" s="3" t="str">
        <f>HYPERLINK("https://ovidsp.ovid.com/ovidweb.cgi?T=JS&amp;NEWS=n&amp;CSC=Y&amp;PAGE=toc&amp;D=yrovft&amp;AN=02273366-000000000-00000","https://ovidsp.ovid.com/ovidweb.cgi?T=JS&amp;NEWS=n&amp;CSC=Y&amp;PAGE=toc&amp;D=yrovft&amp;AN=02273366-000000000-00000")</f>
        <v>https://ovidsp.ovid.com/ovidweb.cgi?T=JS&amp;NEWS=n&amp;CSC=Y&amp;PAGE=toc&amp;D=yrovft&amp;AN=02273366-000000000-00000</v>
      </c>
      <c r="N296" t="s">
        <v>1379</v>
      </c>
      <c r="O296" t="s">
        <v>2151</v>
      </c>
      <c r="P296" t="s">
        <v>2431</v>
      </c>
      <c r="Q296">
        <v>1428052</v>
      </c>
      <c r="R296" t="s">
        <v>1311</v>
      </c>
      <c r="S296" t="s">
        <v>84</v>
      </c>
      <c r="T296" t="s">
        <v>2152</v>
      </c>
      <c r="U296" t="s">
        <v>951</v>
      </c>
      <c r="V296" t="b">
        <v>0</v>
      </c>
      <c r="W296" t="s">
        <v>2022</v>
      </c>
      <c r="X296" t="b">
        <v>0</v>
      </c>
      <c r="Y296" t="s">
        <v>2022</v>
      </c>
      <c r="Z296" t="s">
        <v>1351</v>
      </c>
      <c r="AA296" t="s">
        <v>192</v>
      </c>
      <c r="AB296" t="s">
        <v>192</v>
      </c>
    </row>
    <row r="297" spans="1:28" x14ac:dyDescent="0.3">
      <c r="A297" t="s">
        <v>421</v>
      </c>
      <c r="B297" t="s">
        <v>2022</v>
      </c>
      <c r="C297" t="s">
        <v>736</v>
      </c>
      <c r="D297" t="s">
        <v>44</v>
      </c>
      <c r="E297" s="1">
        <v>46055</v>
      </c>
      <c r="F297">
        <v>1</v>
      </c>
      <c r="G297">
        <v>1</v>
      </c>
      <c r="H297">
        <v>7</v>
      </c>
      <c r="I297">
        <v>1</v>
      </c>
      <c r="J297" t="s">
        <v>1694</v>
      </c>
      <c r="K297" t="s">
        <v>1876</v>
      </c>
      <c r="L297" t="s">
        <v>2919</v>
      </c>
      <c r="M297" s="3" t="str">
        <f>HYPERLINK("https://ovidsp.ovid.com/ovidweb.cgi?T=JS&amp;NEWS=n&amp;CSC=Y&amp;PAGE=toc&amp;D=yrovft&amp;AN=02200512-000000000-00000","https://ovidsp.ovid.com/ovidweb.cgi?T=JS&amp;NEWS=n&amp;CSC=Y&amp;PAGE=toc&amp;D=yrovft&amp;AN=02200512-000000000-00000")</f>
        <v>https://ovidsp.ovid.com/ovidweb.cgi?T=JS&amp;NEWS=n&amp;CSC=Y&amp;PAGE=toc&amp;D=yrovft&amp;AN=02200512-000000000-00000</v>
      </c>
      <c r="N297" t="s">
        <v>1015</v>
      </c>
      <c r="O297" t="s">
        <v>1691</v>
      </c>
      <c r="P297" t="s">
        <v>3147</v>
      </c>
      <c r="Q297">
        <v>1428051</v>
      </c>
      <c r="R297" t="s">
        <v>727</v>
      </c>
      <c r="S297" t="s">
        <v>84</v>
      </c>
      <c r="T297" t="s">
        <v>2152</v>
      </c>
      <c r="U297" t="s">
        <v>2504</v>
      </c>
      <c r="V297" t="b">
        <v>1</v>
      </c>
      <c r="W297" t="s">
        <v>2935</v>
      </c>
      <c r="X297" t="b">
        <v>0</v>
      </c>
      <c r="Y297" t="s">
        <v>2022</v>
      </c>
      <c r="Z297" t="s">
        <v>1351</v>
      </c>
      <c r="AA297" t="s">
        <v>2947</v>
      </c>
      <c r="AB297" t="s">
        <v>1351</v>
      </c>
    </row>
    <row r="298" spans="1:28" x14ac:dyDescent="0.3">
      <c r="A298" t="s">
        <v>421</v>
      </c>
      <c r="B298" t="s">
        <v>2022</v>
      </c>
      <c r="C298" t="s">
        <v>736</v>
      </c>
      <c r="D298" t="s">
        <v>44</v>
      </c>
      <c r="E298" s="1">
        <v>46055</v>
      </c>
      <c r="F298">
        <v>1</v>
      </c>
      <c r="G298">
        <v>1</v>
      </c>
      <c r="H298">
        <v>7</v>
      </c>
      <c r="I298">
        <v>1</v>
      </c>
      <c r="J298" t="s">
        <v>1694</v>
      </c>
      <c r="K298" t="s">
        <v>1876</v>
      </c>
      <c r="L298" t="s">
        <v>2919</v>
      </c>
      <c r="M298" s="3" t="str">
        <f>HYPERLINK("https://ovidsp.ovid.com/ovidweb.cgi?T=JS&amp;NEWS=n&amp;CSC=Y&amp;PAGE=toc&amp;D=yrovft&amp;AN=02200512-000000000-00000","https://ovidsp.ovid.com/ovidweb.cgi?T=JS&amp;NEWS=n&amp;CSC=Y&amp;PAGE=toc&amp;D=yrovft&amp;AN=02200512-000000000-00000")</f>
        <v>https://ovidsp.ovid.com/ovidweb.cgi?T=JS&amp;NEWS=n&amp;CSC=Y&amp;PAGE=toc&amp;D=yrovft&amp;AN=02200512-000000000-00000</v>
      </c>
      <c r="N298" t="s">
        <v>1015</v>
      </c>
      <c r="O298" t="s">
        <v>2151</v>
      </c>
      <c r="P298" t="s">
        <v>2431</v>
      </c>
      <c r="Q298">
        <v>1428052</v>
      </c>
      <c r="R298" t="s">
        <v>727</v>
      </c>
      <c r="S298" t="s">
        <v>84</v>
      </c>
      <c r="T298" t="s">
        <v>2152</v>
      </c>
      <c r="U298" t="s">
        <v>2504</v>
      </c>
      <c r="V298" t="b">
        <v>1</v>
      </c>
      <c r="W298" t="s">
        <v>2935</v>
      </c>
      <c r="X298" t="b">
        <v>0</v>
      </c>
      <c r="Y298" t="s">
        <v>2022</v>
      </c>
      <c r="Z298" t="s">
        <v>1351</v>
      </c>
      <c r="AA298" t="s">
        <v>192</v>
      </c>
      <c r="AB298" t="s">
        <v>192</v>
      </c>
    </row>
    <row r="299" spans="1:28" x14ac:dyDescent="0.3">
      <c r="A299" t="s">
        <v>456</v>
      </c>
      <c r="B299" t="s">
        <v>2620</v>
      </c>
      <c r="C299" t="s">
        <v>2022</v>
      </c>
      <c r="D299" t="s">
        <v>44</v>
      </c>
      <c r="E299" s="1">
        <v>46055</v>
      </c>
      <c r="F299">
        <v>13</v>
      </c>
      <c r="G299">
        <v>8</v>
      </c>
      <c r="H299">
        <v>29</v>
      </c>
      <c r="I299">
        <v>11</v>
      </c>
      <c r="J299" t="s">
        <v>2721</v>
      </c>
      <c r="K299" t="s">
        <v>2222</v>
      </c>
      <c r="L299" t="s">
        <v>1080</v>
      </c>
      <c r="M299" s="3" t="str">
        <f>HYPERLINK("https://ovidsp.ovid.com/ovidweb.cgi?T=JS&amp;NEWS=n&amp;CSC=Y&amp;PAGE=toc&amp;D=yrovft&amp;AN=01300517-000000000-00000","https://ovidsp.ovid.com/ovidweb.cgi?T=JS&amp;NEWS=n&amp;CSC=Y&amp;PAGE=toc&amp;D=yrovft&amp;AN=01300517-000000000-00000")</f>
        <v>https://ovidsp.ovid.com/ovidweb.cgi?T=JS&amp;NEWS=n&amp;CSC=Y&amp;PAGE=toc&amp;D=yrovft&amp;AN=01300517-000000000-00000</v>
      </c>
      <c r="N299" t="s">
        <v>147</v>
      </c>
      <c r="O299" t="s">
        <v>2151</v>
      </c>
      <c r="P299" t="s">
        <v>2431</v>
      </c>
      <c r="Q299">
        <v>1428052</v>
      </c>
      <c r="R299" t="s">
        <v>1967</v>
      </c>
      <c r="S299" t="s">
        <v>84</v>
      </c>
      <c r="T299" t="s">
        <v>2152</v>
      </c>
      <c r="U299" t="s">
        <v>2336</v>
      </c>
      <c r="V299" t="b">
        <v>0</v>
      </c>
      <c r="W299" t="s">
        <v>2022</v>
      </c>
      <c r="X299" t="b">
        <v>0</v>
      </c>
      <c r="Y299" t="s">
        <v>2022</v>
      </c>
      <c r="Z299" t="s">
        <v>831</v>
      </c>
      <c r="AA299" t="s">
        <v>192</v>
      </c>
      <c r="AB299" t="s">
        <v>192</v>
      </c>
    </row>
    <row r="300" spans="1:28" x14ac:dyDescent="0.3">
      <c r="A300" t="s">
        <v>2550</v>
      </c>
      <c r="B300" t="s">
        <v>2359</v>
      </c>
      <c r="C300" t="s">
        <v>589</v>
      </c>
      <c r="D300" t="s">
        <v>44</v>
      </c>
      <c r="E300" s="1">
        <v>46055</v>
      </c>
      <c r="F300">
        <v>21</v>
      </c>
      <c r="G300">
        <v>1</v>
      </c>
      <c r="H300">
        <v>32</v>
      </c>
      <c r="I300">
        <v>2</v>
      </c>
      <c r="J300" t="s">
        <v>2585</v>
      </c>
      <c r="K300" t="s">
        <v>1959</v>
      </c>
      <c r="L300" t="s">
        <v>712</v>
      </c>
      <c r="M300" s="3" t="str">
        <f>HYPERLINK("https://ovidsp.ovid.com/ovidweb.cgi?T=JS&amp;NEWS=n&amp;CSC=Y&amp;PAGE=toc&amp;D=yrovft&amp;AN=01445473-000000000-00000","https://ovidsp.ovid.com/ovidweb.cgi?T=JS&amp;NEWS=n&amp;CSC=Y&amp;PAGE=toc&amp;D=yrovft&amp;AN=01445473-000000000-00000")</f>
        <v>https://ovidsp.ovid.com/ovidweb.cgi?T=JS&amp;NEWS=n&amp;CSC=Y&amp;PAGE=toc&amp;D=yrovft&amp;AN=01445473-000000000-00000</v>
      </c>
      <c r="N300" t="s">
        <v>1484</v>
      </c>
      <c r="O300" t="s">
        <v>2191</v>
      </c>
      <c r="P300" t="s">
        <v>3137</v>
      </c>
      <c r="Q300">
        <v>1428050</v>
      </c>
      <c r="R300" t="s">
        <v>276</v>
      </c>
      <c r="S300" t="s">
        <v>84</v>
      </c>
      <c r="T300" t="s">
        <v>2152</v>
      </c>
      <c r="U300" t="s">
        <v>450</v>
      </c>
      <c r="V300" t="b">
        <v>1</v>
      </c>
      <c r="W300" t="s">
        <v>1432</v>
      </c>
      <c r="X300" t="b">
        <v>0</v>
      </c>
      <c r="Y300" t="s">
        <v>2022</v>
      </c>
      <c r="Z300" t="s">
        <v>1351</v>
      </c>
      <c r="AA300" t="s">
        <v>2505</v>
      </c>
      <c r="AB300" t="s">
        <v>1351</v>
      </c>
    </row>
    <row r="301" spans="1:28" x14ac:dyDescent="0.3">
      <c r="A301" t="s">
        <v>1877</v>
      </c>
      <c r="B301" t="s">
        <v>2847</v>
      </c>
      <c r="C301" t="s">
        <v>1452</v>
      </c>
      <c r="D301" t="s">
        <v>44</v>
      </c>
      <c r="E301" s="1">
        <v>46055</v>
      </c>
      <c r="F301">
        <v>1</v>
      </c>
      <c r="G301">
        <v>1</v>
      </c>
      <c r="H301">
        <v>5</v>
      </c>
      <c r="I301">
        <v>6</v>
      </c>
      <c r="J301" t="s">
        <v>1340</v>
      </c>
      <c r="K301" t="s">
        <v>2011</v>
      </c>
      <c r="L301" t="s">
        <v>2328</v>
      </c>
      <c r="M301" s="3" t="str">
        <f>HYPERLINK("https://ovidsp.ovid.com/ovidweb.cgi?T=JS&amp;NEWS=n&amp;CSC=Y&amp;PAGE=toc&amp;D=yrovft&amp;AN=01212983-000000000-00000","https://ovidsp.ovid.com/ovidweb.cgi?T=JS&amp;NEWS=n&amp;CSC=Y&amp;PAGE=toc&amp;D=yrovft&amp;AN=01212983-000000000-00000")</f>
        <v>https://ovidsp.ovid.com/ovidweb.cgi?T=JS&amp;NEWS=n&amp;CSC=Y&amp;PAGE=toc&amp;D=yrovft&amp;AN=01212983-000000000-00000</v>
      </c>
      <c r="N301" t="s">
        <v>2022</v>
      </c>
      <c r="O301" t="s">
        <v>2151</v>
      </c>
      <c r="P301" t="s">
        <v>2431</v>
      </c>
      <c r="Q301">
        <v>1428052</v>
      </c>
      <c r="R301" t="s">
        <v>997</v>
      </c>
      <c r="S301" t="s">
        <v>84</v>
      </c>
      <c r="T301" t="s">
        <v>2152</v>
      </c>
      <c r="U301" t="s">
        <v>2953</v>
      </c>
      <c r="V301" t="b">
        <v>0</v>
      </c>
      <c r="W301" t="s">
        <v>2022</v>
      </c>
      <c r="X301" t="b">
        <v>0</v>
      </c>
      <c r="Y301" t="s">
        <v>2022</v>
      </c>
      <c r="Z301" t="s">
        <v>478</v>
      </c>
      <c r="AA301" t="s">
        <v>192</v>
      </c>
      <c r="AB301" t="s">
        <v>192</v>
      </c>
    </row>
    <row r="302" spans="1:28" x14ac:dyDescent="0.3">
      <c r="A302" t="s">
        <v>1276</v>
      </c>
      <c r="B302" t="s">
        <v>576</v>
      </c>
      <c r="C302" t="s">
        <v>1666</v>
      </c>
      <c r="D302" t="s">
        <v>44</v>
      </c>
      <c r="E302" s="1">
        <v>46055</v>
      </c>
      <c r="F302">
        <v>1</v>
      </c>
      <c r="G302">
        <v>1</v>
      </c>
      <c r="H302">
        <v>8</v>
      </c>
      <c r="I302">
        <v>1</v>
      </c>
      <c r="J302" t="s">
        <v>2603</v>
      </c>
      <c r="K302" t="s">
        <v>990</v>
      </c>
      <c r="L302" t="s">
        <v>2919</v>
      </c>
      <c r="M302" s="3" t="str">
        <f>HYPERLINK("https://ovidsp.ovid.com/ovidweb.cgi?T=JS&amp;NEWS=n&amp;CSC=Y&amp;PAGE=toc&amp;D=yrovft&amp;AN=02123147-000000000-00000","https://ovidsp.ovid.com/ovidweb.cgi?T=JS&amp;NEWS=n&amp;CSC=Y&amp;PAGE=toc&amp;D=yrovft&amp;AN=02123147-000000000-00000")</f>
        <v>https://ovidsp.ovid.com/ovidweb.cgi?T=JS&amp;NEWS=n&amp;CSC=Y&amp;PAGE=toc&amp;D=yrovft&amp;AN=02123147-000000000-00000</v>
      </c>
      <c r="N302" t="s">
        <v>1104</v>
      </c>
      <c r="O302" t="s">
        <v>2151</v>
      </c>
      <c r="P302" t="s">
        <v>2431</v>
      </c>
      <c r="Q302">
        <v>1428052</v>
      </c>
      <c r="R302" t="s">
        <v>1908</v>
      </c>
      <c r="S302" t="s">
        <v>84</v>
      </c>
      <c r="T302" t="s">
        <v>2152</v>
      </c>
      <c r="U302" t="s">
        <v>2569</v>
      </c>
      <c r="V302" t="b">
        <v>1</v>
      </c>
      <c r="W302" t="s">
        <v>350</v>
      </c>
      <c r="X302" t="b">
        <v>0</v>
      </c>
      <c r="Y302" t="s">
        <v>2022</v>
      </c>
      <c r="Z302" t="s">
        <v>2022</v>
      </c>
      <c r="AA302" t="s">
        <v>192</v>
      </c>
      <c r="AB302" t="s">
        <v>192</v>
      </c>
    </row>
    <row r="303" spans="1:28" x14ac:dyDescent="0.3">
      <c r="A303" t="s">
        <v>1051</v>
      </c>
      <c r="B303" t="s">
        <v>2115</v>
      </c>
      <c r="C303" t="s">
        <v>2807</v>
      </c>
      <c r="D303" t="s">
        <v>44</v>
      </c>
      <c r="E303" s="1">
        <v>46055</v>
      </c>
      <c r="F303">
        <v>40</v>
      </c>
      <c r="G303">
        <v>1</v>
      </c>
      <c r="H303">
        <v>51</v>
      </c>
      <c r="I303">
        <v>1</v>
      </c>
      <c r="J303" t="s">
        <v>672</v>
      </c>
      <c r="K303" t="s">
        <v>1959</v>
      </c>
      <c r="L303" t="s">
        <v>2919</v>
      </c>
      <c r="M303" s="3" t="str">
        <f>HYPERLINK("https://ovidsp.ovid.com/ovidweb.cgi?T=JS&amp;NEWS=n&amp;CSC=Y&amp;PAGE=toc&amp;D=yrovft&amp;AN=00005721-000000000-00000","https://ovidsp.ovid.com/ovidweb.cgi?T=JS&amp;NEWS=n&amp;CSC=Y&amp;PAGE=toc&amp;D=yrovft&amp;AN=00005721-000000000-00000")</f>
        <v>https://ovidsp.ovid.com/ovidweb.cgi?T=JS&amp;NEWS=n&amp;CSC=Y&amp;PAGE=toc&amp;D=yrovft&amp;AN=00005721-000000000-00000</v>
      </c>
      <c r="N303" t="s">
        <v>2795</v>
      </c>
      <c r="O303" t="s">
        <v>2151</v>
      </c>
      <c r="P303" t="s">
        <v>2431</v>
      </c>
      <c r="Q303">
        <v>1428052</v>
      </c>
      <c r="R303" t="s">
        <v>775</v>
      </c>
      <c r="S303" t="s">
        <v>84</v>
      </c>
      <c r="T303" t="s">
        <v>2152</v>
      </c>
      <c r="U303" t="s">
        <v>1320</v>
      </c>
      <c r="V303" t="b">
        <v>1</v>
      </c>
      <c r="W303" t="s">
        <v>2193</v>
      </c>
      <c r="X303" t="b">
        <v>0</v>
      </c>
      <c r="Y303" t="s">
        <v>2022</v>
      </c>
      <c r="Z303" t="s">
        <v>2440</v>
      </c>
      <c r="AA303" t="s">
        <v>192</v>
      </c>
      <c r="AB303" t="s">
        <v>192</v>
      </c>
    </row>
    <row r="304" spans="1:28" x14ac:dyDescent="0.3">
      <c r="A304" t="s">
        <v>2748</v>
      </c>
      <c r="B304" t="s">
        <v>1148</v>
      </c>
      <c r="C304" t="s">
        <v>97</v>
      </c>
      <c r="D304" t="s">
        <v>44</v>
      </c>
      <c r="E304" s="1">
        <v>46055</v>
      </c>
      <c r="F304">
        <v>53</v>
      </c>
      <c r="G304">
        <v>1</v>
      </c>
      <c r="H304">
        <v>64</v>
      </c>
      <c r="I304" t="s">
        <v>2439</v>
      </c>
      <c r="J304" t="s">
        <v>2585</v>
      </c>
      <c r="K304" t="s">
        <v>1959</v>
      </c>
      <c r="L304" t="s">
        <v>712</v>
      </c>
      <c r="M304" s="3" t="str">
        <f>HYPERLINK("https://ovidsp.ovid.com/ovidweb.cgi?T=JS&amp;NEWS=n&amp;CSC=Y&amp;PAGE=toc&amp;D=yrovft&amp;AN=00005650-000000000-00000","https://ovidsp.ovid.com/ovidweb.cgi?T=JS&amp;NEWS=n&amp;CSC=Y&amp;PAGE=toc&amp;D=yrovft&amp;AN=00005650-000000000-00000")</f>
        <v>https://ovidsp.ovid.com/ovidweb.cgi?T=JS&amp;NEWS=n&amp;CSC=Y&amp;PAGE=toc&amp;D=yrovft&amp;AN=00005650-000000000-00000</v>
      </c>
      <c r="N304" t="s">
        <v>2956</v>
      </c>
      <c r="O304" t="s">
        <v>2151</v>
      </c>
      <c r="P304" t="s">
        <v>2431</v>
      </c>
      <c r="Q304">
        <v>1428052</v>
      </c>
      <c r="R304" t="s">
        <v>2963</v>
      </c>
      <c r="S304" t="s">
        <v>84</v>
      </c>
      <c r="T304" t="s">
        <v>2152</v>
      </c>
      <c r="U304" t="s">
        <v>1259</v>
      </c>
      <c r="V304" t="b">
        <v>1</v>
      </c>
      <c r="W304" t="s">
        <v>2638</v>
      </c>
      <c r="X304" t="b">
        <v>0</v>
      </c>
      <c r="Y304" t="s">
        <v>2022</v>
      </c>
      <c r="Z304" t="s">
        <v>2887</v>
      </c>
      <c r="AA304" t="s">
        <v>192</v>
      </c>
      <c r="AB304" t="s">
        <v>192</v>
      </c>
    </row>
    <row r="305" spans="1:28" x14ac:dyDescent="0.3">
      <c r="A305" t="s">
        <v>1680</v>
      </c>
      <c r="B305" t="s">
        <v>2235</v>
      </c>
      <c r="C305" t="s">
        <v>1241</v>
      </c>
      <c r="D305" t="s">
        <v>44</v>
      </c>
      <c r="E305" s="1">
        <v>46055</v>
      </c>
      <c r="F305">
        <v>1</v>
      </c>
      <c r="G305">
        <v>1</v>
      </c>
      <c r="H305">
        <v>2</v>
      </c>
      <c r="I305">
        <v>4</v>
      </c>
      <c r="J305" t="s">
        <v>2590</v>
      </c>
      <c r="K305" t="s">
        <v>2905</v>
      </c>
      <c r="L305" t="s">
        <v>2095</v>
      </c>
      <c r="M305" s="3" t="str">
        <f>HYPERLINK("https://ovidsp.ovid.com/ovidweb.cgi?T=JS&amp;NEWS=n&amp;CSC=Y&amp;PAGE=toc&amp;D=yrovft&amp;AN=01394381-000000000-00000","https://ovidsp.ovid.com/ovidweb.cgi?T=JS&amp;NEWS=n&amp;CSC=Y&amp;PAGE=toc&amp;D=yrovft&amp;AN=01394381-000000000-00000")</f>
        <v>https://ovidsp.ovid.com/ovidweb.cgi?T=JS&amp;NEWS=n&amp;CSC=Y&amp;PAGE=toc&amp;D=yrovft&amp;AN=01394381-000000000-00000</v>
      </c>
      <c r="N305" t="s">
        <v>2022</v>
      </c>
      <c r="O305" t="s">
        <v>2151</v>
      </c>
      <c r="P305" t="s">
        <v>2431</v>
      </c>
      <c r="Q305">
        <v>1428052</v>
      </c>
      <c r="R305" t="s">
        <v>860</v>
      </c>
      <c r="S305" t="s">
        <v>84</v>
      </c>
      <c r="T305" t="s">
        <v>2152</v>
      </c>
      <c r="U305" t="s">
        <v>1651</v>
      </c>
      <c r="V305" t="b">
        <v>0</v>
      </c>
      <c r="W305" t="s">
        <v>2022</v>
      </c>
      <c r="X305" t="b">
        <v>0</v>
      </c>
      <c r="Y305" t="s">
        <v>2022</v>
      </c>
      <c r="Z305" t="s">
        <v>2022</v>
      </c>
      <c r="AA305" t="s">
        <v>192</v>
      </c>
      <c r="AB305" t="s">
        <v>192</v>
      </c>
    </row>
    <row r="306" spans="1:28" x14ac:dyDescent="0.3">
      <c r="A306" t="s">
        <v>2332</v>
      </c>
      <c r="B306" t="s">
        <v>1342</v>
      </c>
      <c r="C306" t="s">
        <v>324</v>
      </c>
      <c r="D306" t="s">
        <v>44</v>
      </c>
      <c r="E306" s="1">
        <v>46055</v>
      </c>
      <c r="F306">
        <v>1</v>
      </c>
      <c r="G306">
        <v>1</v>
      </c>
      <c r="H306">
        <v>105</v>
      </c>
      <c r="I306">
        <v>4</v>
      </c>
      <c r="J306" t="s">
        <v>1130</v>
      </c>
      <c r="K306" t="s">
        <v>292</v>
      </c>
      <c r="L306" t="s">
        <v>2647</v>
      </c>
      <c r="M306" s="3" t="str">
        <f>HYPERLINK("https://ovidsp.ovid.com/ovidweb.cgi?T=JS&amp;NEWS=n&amp;CSC=Y&amp;PAGE=toc&amp;D=yrovft&amp;AN=00005792-000000000-00000","https://ovidsp.ovid.com/ovidweb.cgi?T=JS&amp;NEWS=n&amp;CSC=Y&amp;PAGE=toc&amp;D=yrovft&amp;AN=00005792-000000000-00000")</f>
        <v>https://ovidsp.ovid.com/ovidweb.cgi?T=JS&amp;NEWS=n&amp;CSC=Y&amp;PAGE=toc&amp;D=yrovft&amp;AN=00005792-000000000-00000</v>
      </c>
      <c r="N306" t="s">
        <v>2356</v>
      </c>
      <c r="O306" t="s">
        <v>2151</v>
      </c>
      <c r="P306" t="s">
        <v>2431</v>
      </c>
      <c r="Q306">
        <v>1428052</v>
      </c>
      <c r="R306" t="s">
        <v>2933</v>
      </c>
      <c r="S306" t="s">
        <v>84</v>
      </c>
      <c r="T306" t="s">
        <v>2152</v>
      </c>
      <c r="U306" t="s">
        <v>3146</v>
      </c>
      <c r="V306" t="b">
        <v>0</v>
      </c>
      <c r="W306" t="s">
        <v>2022</v>
      </c>
      <c r="X306" t="b">
        <v>0</v>
      </c>
      <c r="Y306" t="s">
        <v>2022</v>
      </c>
      <c r="Z306" t="s">
        <v>338</v>
      </c>
      <c r="AA306" t="s">
        <v>192</v>
      </c>
      <c r="AB306" t="s">
        <v>192</v>
      </c>
    </row>
    <row r="307" spans="1:28" x14ac:dyDescent="0.3">
      <c r="A307" t="s">
        <v>1588</v>
      </c>
      <c r="B307" t="s">
        <v>1261</v>
      </c>
      <c r="C307" t="s">
        <v>2082</v>
      </c>
      <c r="D307" t="s">
        <v>44</v>
      </c>
      <c r="E307" s="1">
        <v>46055</v>
      </c>
      <c r="F307">
        <v>47</v>
      </c>
      <c r="G307">
        <v>1</v>
      </c>
      <c r="H307">
        <v>58</v>
      </c>
      <c r="I307">
        <v>2</v>
      </c>
      <c r="J307" t="s">
        <v>2585</v>
      </c>
      <c r="K307" t="s">
        <v>1959</v>
      </c>
      <c r="L307" t="s">
        <v>712</v>
      </c>
      <c r="M307" s="3" t="str">
        <f>HYPERLINK("https://ovidsp.ovid.com/ovidweb.cgi?T=JS&amp;NEWS=n&amp;CSC=Y&amp;PAGE=toc&amp;D=yrovft&amp;AN=00005768-000000000-00000","https://ovidsp.ovid.com/ovidweb.cgi?T=JS&amp;NEWS=n&amp;CSC=Y&amp;PAGE=toc&amp;D=yrovft&amp;AN=00005768-000000000-00000")</f>
        <v>https://ovidsp.ovid.com/ovidweb.cgi?T=JS&amp;NEWS=n&amp;CSC=Y&amp;PAGE=toc&amp;D=yrovft&amp;AN=00005768-000000000-00000</v>
      </c>
      <c r="N307" t="s">
        <v>2861</v>
      </c>
      <c r="O307" t="s">
        <v>2151</v>
      </c>
      <c r="P307" t="s">
        <v>2431</v>
      </c>
      <c r="Q307">
        <v>1428052</v>
      </c>
      <c r="R307" t="s">
        <v>1658</v>
      </c>
      <c r="S307" t="s">
        <v>84</v>
      </c>
      <c r="T307" t="s">
        <v>2152</v>
      </c>
      <c r="U307" t="s">
        <v>527</v>
      </c>
      <c r="V307" t="b">
        <v>1</v>
      </c>
      <c r="W307" t="s">
        <v>1741</v>
      </c>
      <c r="X307" t="b">
        <v>0</v>
      </c>
      <c r="Y307" t="s">
        <v>2022</v>
      </c>
      <c r="Z307" t="s">
        <v>831</v>
      </c>
      <c r="AA307" t="s">
        <v>192</v>
      </c>
      <c r="AB307" t="s">
        <v>192</v>
      </c>
    </row>
    <row r="308" spans="1:28" x14ac:dyDescent="0.3">
      <c r="A308" t="s">
        <v>1834</v>
      </c>
      <c r="B308" t="s">
        <v>2022</v>
      </c>
      <c r="C308" t="s">
        <v>2240</v>
      </c>
      <c r="D308" t="s">
        <v>44</v>
      </c>
      <c r="E308" s="1">
        <v>46055</v>
      </c>
      <c r="F308">
        <v>1</v>
      </c>
      <c r="G308">
        <v>1</v>
      </c>
      <c r="H308">
        <v>6</v>
      </c>
      <c r="I308">
        <v>6</v>
      </c>
      <c r="J308" t="s">
        <v>388</v>
      </c>
      <c r="K308" t="s">
        <v>548</v>
      </c>
      <c r="L308" t="s">
        <v>2771</v>
      </c>
      <c r="M308" s="3" t="str">
        <f>HYPERLINK("https://ovidsp.ovid.com/ovidweb.cgi?T=JS&amp;NEWS=n&amp;CSC=Y&amp;PAGE=toc&amp;D=yrovft&amp;AN=02200519-000000000-00000","https://ovidsp.ovid.com/ovidweb.cgi?T=JS&amp;NEWS=n&amp;CSC=Y&amp;PAGE=toc&amp;D=yrovft&amp;AN=02200519-000000000-00000")</f>
        <v>https://ovidsp.ovid.com/ovidweb.cgi?T=JS&amp;NEWS=n&amp;CSC=Y&amp;PAGE=toc&amp;D=yrovft&amp;AN=02200519-000000000-00000</v>
      </c>
      <c r="N308" t="s">
        <v>1178</v>
      </c>
      <c r="O308" t="s">
        <v>2151</v>
      </c>
      <c r="P308" t="s">
        <v>2431</v>
      </c>
      <c r="Q308">
        <v>1428052</v>
      </c>
      <c r="R308" t="s">
        <v>1923</v>
      </c>
      <c r="S308" t="s">
        <v>84</v>
      </c>
      <c r="T308" t="s">
        <v>2152</v>
      </c>
      <c r="U308" t="s">
        <v>505</v>
      </c>
      <c r="V308" t="b">
        <v>0</v>
      </c>
      <c r="W308" t="s">
        <v>2022</v>
      </c>
      <c r="X308" t="b">
        <v>0</v>
      </c>
      <c r="Y308" t="s">
        <v>2022</v>
      </c>
      <c r="Z308" t="s">
        <v>2022</v>
      </c>
      <c r="AA308" t="s">
        <v>192</v>
      </c>
      <c r="AB308" t="s">
        <v>192</v>
      </c>
    </row>
    <row r="309" spans="1:28" x14ac:dyDescent="0.3">
      <c r="A309" t="s">
        <v>122</v>
      </c>
      <c r="B309" t="s">
        <v>2022</v>
      </c>
      <c r="C309" t="s">
        <v>849</v>
      </c>
      <c r="D309" t="s">
        <v>44</v>
      </c>
      <c r="E309" s="1">
        <v>46055</v>
      </c>
      <c r="F309">
        <v>1</v>
      </c>
      <c r="G309">
        <v>1</v>
      </c>
      <c r="H309">
        <v>2</v>
      </c>
      <c r="I309">
        <v>4</v>
      </c>
      <c r="J309" t="s">
        <v>513</v>
      </c>
      <c r="K309" t="s">
        <v>1252</v>
      </c>
      <c r="L309" t="s">
        <v>2771</v>
      </c>
      <c r="M309" s="3" t="str">
        <f>HYPERLINK("https://ovidsp.ovid.com/ovidweb.cgi?T=JS&amp;NEWS=n&amp;CSC=Y&amp;PAGE=toc&amp;D=yrovft&amp;AN=02275074-000000000-00000","https://ovidsp.ovid.com/ovidweb.cgi?T=JS&amp;NEWS=n&amp;CSC=Y&amp;PAGE=toc&amp;D=yrovft&amp;AN=02275074-000000000-00000")</f>
        <v>https://ovidsp.ovid.com/ovidweb.cgi?T=JS&amp;NEWS=n&amp;CSC=Y&amp;PAGE=toc&amp;D=yrovft&amp;AN=02275074-000000000-00000</v>
      </c>
      <c r="N309" t="s">
        <v>2052</v>
      </c>
      <c r="O309" t="s">
        <v>2151</v>
      </c>
      <c r="P309" t="s">
        <v>2431</v>
      </c>
      <c r="Q309">
        <v>1428052</v>
      </c>
      <c r="R309" t="s">
        <v>2877</v>
      </c>
      <c r="S309" t="s">
        <v>84</v>
      </c>
      <c r="T309" t="s">
        <v>2152</v>
      </c>
      <c r="U309" t="s">
        <v>1759</v>
      </c>
      <c r="V309" t="b">
        <v>1</v>
      </c>
      <c r="W309" t="s">
        <v>1218</v>
      </c>
      <c r="X309" t="b">
        <v>0</v>
      </c>
      <c r="Y309" t="s">
        <v>2022</v>
      </c>
      <c r="Z309" t="s">
        <v>2022</v>
      </c>
      <c r="AA309" t="s">
        <v>192</v>
      </c>
      <c r="AB309" t="s">
        <v>192</v>
      </c>
    </row>
    <row r="310" spans="1:28" x14ac:dyDescent="0.3">
      <c r="A310" t="s">
        <v>2522</v>
      </c>
      <c r="B310" t="s">
        <v>1119</v>
      </c>
      <c r="C310" t="s">
        <v>2992</v>
      </c>
      <c r="D310" t="s">
        <v>44</v>
      </c>
      <c r="E310" s="1">
        <v>46055</v>
      </c>
      <c r="F310">
        <v>25</v>
      </c>
      <c r="G310">
        <v>1</v>
      </c>
      <c r="H310">
        <v>36</v>
      </c>
      <c r="I310">
        <v>1</v>
      </c>
      <c r="J310" t="s">
        <v>1878</v>
      </c>
      <c r="K310" t="s">
        <v>1525</v>
      </c>
      <c r="L310" t="s">
        <v>712</v>
      </c>
      <c r="M310" s="3" t="str">
        <f>HYPERLINK("https://ovidsp.ovid.com/ovidweb.cgi?T=JS&amp;NEWS=n&amp;CSC=Y&amp;PAGE=toc&amp;D=yrovft&amp;AN=00008390-000000000-00000","https://ovidsp.ovid.com/ovidweb.cgi?T=JS&amp;NEWS=n&amp;CSC=Y&amp;PAGE=toc&amp;D=yrovft&amp;AN=00008390-000000000-00000")</f>
        <v>https://ovidsp.ovid.com/ovidweb.cgi?T=JS&amp;NEWS=n&amp;CSC=Y&amp;PAGE=toc&amp;D=yrovft&amp;AN=00008390-000000000-00000</v>
      </c>
      <c r="N310" t="s">
        <v>2608</v>
      </c>
      <c r="O310" t="s">
        <v>2151</v>
      </c>
      <c r="P310" t="s">
        <v>2431</v>
      </c>
      <c r="Q310">
        <v>1428052</v>
      </c>
      <c r="R310" t="s">
        <v>1829</v>
      </c>
      <c r="S310" t="s">
        <v>84</v>
      </c>
      <c r="T310" t="s">
        <v>2152</v>
      </c>
      <c r="U310" t="s">
        <v>1727</v>
      </c>
      <c r="V310" t="b">
        <v>1</v>
      </c>
      <c r="W310" t="s">
        <v>1972</v>
      </c>
      <c r="X310" t="b">
        <v>0</v>
      </c>
      <c r="Y310" t="s">
        <v>2022</v>
      </c>
      <c r="Z310" t="s">
        <v>1351</v>
      </c>
      <c r="AA310" t="s">
        <v>192</v>
      </c>
      <c r="AB310" t="s">
        <v>192</v>
      </c>
    </row>
    <row r="311" spans="1:28" x14ac:dyDescent="0.3">
      <c r="A311" t="s">
        <v>2666</v>
      </c>
      <c r="B311" t="s">
        <v>2022</v>
      </c>
      <c r="C311" t="s">
        <v>2761</v>
      </c>
      <c r="D311" t="s">
        <v>44</v>
      </c>
      <c r="E311" s="1">
        <v>46055</v>
      </c>
      <c r="F311">
        <v>22</v>
      </c>
      <c r="G311">
        <v>1</v>
      </c>
      <c r="H311">
        <v>33</v>
      </c>
      <c r="I311">
        <v>2</v>
      </c>
      <c r="J311" t="s">
        <v>2585</v>
      </c>
      <c r="K311" t="s">
        <v>1959</v>
      </c>
      <c r="L311" t="s">
        <v>712</v>
      </c>
      <c r="M311" s="3" t="str">
        <f>HYPERLINK("https://ovidsp.ovid.com/ovidweb.cgi?T=JS&amp;NEWS=n&amp;CSC=Y&amp;PAGE=toc&amp;D=yrovft&amp;AN=00042192-000000000-00000","https://ovidsp.ovid.com/ovidweb.cgi?T=JS&amp;NEWS=n&amp;CSC=Y&amp;PAGE=toc&amp;D=yrovft&amp;AN=00042192-000000000-00000")</f>
        <v>https://ovidsp.ovid.com/ovidweb.cgi?T=JS&amp;NEWS=n&amp;CSC=Y&amp;PAGE=toc&amp;D=yrovft&amp;AN=00042192-000000000-00000</v>
      </c>
      <c r="N311" t="s">
        <v>1857</v>
      </c>
      <c r="O311" t="s">
        <v>2151</v>
      </c>
      <c r="P311" t="s">
        <v>2431</v>
      </c>
      <c r="Q311">
        <v>1428052</v>
      </c>
      <c r="R311" t="s">
        <v>2510</v>
      </c>
      <c r="S311" t="s">
        <v>84</v>
      </c>
      <c r="T311" t="s">
        <v>2152</v>
      </c>
      <c r="U311" t="s">
        <v>2241</v>
      </c>
      <c r="V311" t="b">
        <v>1</v>
      </c>
      <c r="W311" t="s">
        <v>2624</v>
      </c>
      <c r="X311" t="b">
        <v>0</v>
      </c>
      <c r="Y311" t="s">
        <v>2022</v>
      </c>
      <c r="Z311" t="s">
        <v>2196</v>
      </c>
      <c r="AA311" t="s">
        <v>192</v>
      </c>
      <c r="AB311" t="s">
        <v>192</v>
      </c>
    </row>
    <row r="312" spans="1:28" x14ac:dyDescent="0.3">
      <c r="A312" t="s">
        <v>2014</v>
      </c>
      <c r="B312" t="s">
        <v>79</v>
      </c>
      <c r="C312" t="s">
        <v>1057</v>
      </c>
      <c r="D312" t="s">
        <v>44</v>
      </c>
      <c r="E312" s="1">
        <v>46055</v>
      </c>
      <c r="F312">
        <v>1</v>
      </c>
      <c r="G312">
        <v>1</v>
      </c>
      <c r="H312">
        <v>5</v>
      </c>
      <c r="I312">
        <v>12</v>
      </c>
      <c r="J312" t="s">
        <v>2371</v>
      </c>
      <c r="K312" t="s">
        <v>1409</v>
      </c>
      <c r="L312" t="s">
        <v>2722</v>
      </c>
      <c r="M312" s="3" t="str">
        <f>HYPERLINK("https://ovidsp.ovid.com/ovidweb.cgi?T=JS&amp;NEWS=n&amp;CSC=Y&amp;PAGE=toc&amp;D=yrovft&amp;AN=01337225-000000000-00000","https://ovidsp.ovid.com/ovidweb.cgi?T=JS&amp;NEWS=n&amp;CSC=Y&amp;PAGE=toc&amp;D=yrovft&amp;AN=01337225-000000000-00000")</f>
        <v>https://ovidsp.ovid.com/ovidweb.cgi?T=JS&amp;NEWS=n&amp;CSC=Y&amp;PAGE=toc&amp;D=yrovft&amp;AN=01337225-000000000-00000</v>
      </c>
      <c r="N312" t="s">
        <v>2022</v>
      </c>
      <c r="O312" t="s">
        <v>2151</v>
      </c>
      <c r="P312" t="s">
        <v>2431</v>
      </c>
      <c r="Q312">
        <v>1428052</v>
      </c>
      <c r="R312" t="s">
        <v>2848</v>
      </c>
      <c r="S312" t="s">
        <v>84</v>
      </c>
      <c r="T312" t="s">
        <v>2152</v>
      </c>
      <c r="U312" t="s">
        <v>682</v>
      </c>
      <c r="V312" t="b">
        <v>0</v>
      </c>
      <c r="W312" t="s">
        <v>2022</v>
      </c>
      <c r="X312" t="b">
        <v>0</v>
      </c>
      <c r="Y312" t="s">
        <v>2022</v>
      </c>
      <c r="Z312" t="s">
        <v>1351</v>
      </c>
      <c r="AA312" t="s">
        <v>192</v>
      </c>
      <c r="AB312" t="s">
        <v>192</v>
      </c>
    </row>
    <row r="313" spans="1:28" x14ac:dyDescent="0.3">
      <c r="A313" t="s">
        <v>616</v>
      </c>
      <c r="B313" t="s">
        <v>270</v>
      </c>
      <c r="C313" t="s">
        <v>20</v>
      </c>
      <c r="D313" t="s">
        <v>44</v>
      </c>
      <c r="E313" s="1">
        <v>46055</v>
      </c>
      <c r="F313">
        <v>45</v>
      </c>
      <c r="G313">
        <v>1</v>
      </c>
      <c r="H313">
        <v>106</v>
      </c>
      <c r="I313">
        <v>4</v>
      </c>
      <c r="J313" t="s">
        <v>2842</v>
      </c>
      <c r="K313" t="s">
        <v>1369</v>
      </c>
      <c r="L313" t="s">
        <v>1149</v>
      </c>
      <c r="M313" s="3" t="str">
        <f>HYPERLINK("https://ovidsp.ovid.com/ovidweb.cgi?T=JS&amp;NEWS=n&amp;CSC=Y&amp;PAGE=toc&amp;D=yrovft&amp;AN=00006114-000000000-00000","https://ovidsp.ovid.com/ovidweb.cgi?T=JS&amp;NEWS=n&amp;CSC=Y&amp;PAGE=toc&amp;D=yrovft&amp;AN=00006114-000000000-00000")</f>
        <v>https://ovidsp.ovid.com/ovidweb.cgi?T=JS&amp;NEWS=n&amp;CSC=Y&amp;PAGE=toc&amp;D=yrovft&amp;AN=00006114-000000000-00000</v>
      </c>
      <c r="N313" t="s">
        <v>1745</v>
      </c>
      <c r="O313" t="s">
        <v>2151</v>
      </c>
      <c r="P313" t="s">
        <v>2431</v>
      </c>
      <c r="Q313">
        <v>1428052</v>
      </c>
      <c r="R313" t="s">
        <v>1897</v>
      </c>
      <c r="S313" t="s">
        <v>84</v>
      </c>
      <c r="T313" t="s">
        <v>2152</v>
      </c>
      <c r="U313" t="s">
        <v>1915</v>
      </c>
      <c r="V313" t="b">
        <v>1</v>
      </c>
      <c r="W313" t="s">
        <v>2534</v>
      </c>
      <c r="X313" t="b">
        <v>0</v>
      </c>
      <c r="Y313" t="s">
        <v>2022</v>
      </c>
      <c r="Z313" t="s">
        <v>1413</v>
      </c>
      <c r="AA313" t="s">
        <v>192</v>
      </c>
      <c r="AB313" t="s">
        <v>192</v>
      </c>
    </row>
    <row r="314" spans="1:28" x14ac:dyDescent="0.3">
      <c r="A314" t="s">
        <v>2288</v>
      </c>
      <c r="B314" t="s">
        <v>983</v>
      </c>
      <c r="C314" t="s">
        <v>957</v>
      </c>
      <c r="D314" t="s">
        <v>44</v>
      </c>
      <c r="E314" s="1">
        <v>46055</v>
      </c>
      <c r="F314">
        <v>1</v>
      </c>
      <c r="G314">
        <v>1</v>
      </c>
      <c r="H314">
        <v>16</v>
      </c>
      <c r="I314">
        <v>2</v>
      </c>
      <c r="J314" t="s">
        <v>1548</v>
      </c>
      <c r="K314" t="s">
        <v>489</v>
      </c>
      <c r="L314" t="s">
        <v>1837</v>
      </c>
      <c r="M314" s="3" t="str">
        <f>HYPERLINK("https://ovidsp.ovid.com/ovidweb.cgi?T=JS&amp;NEWS=n&amp;CSC=Y&amp;PAGE=toc&amp;D=yrovft&amp;AN=01586158-000000000-00000","https://ovidsp.ovid.com/ovidweb.cgi?T=JS&amp;NEWS=n&amp;CSC=Y&amp;PAGE=toc&amp;D=yrovft&amp;AN=01586158-000000000-00000")</f>
        <v>https://ovidsp.ovid.com/ovidweb.cgi?T=JS&amp;NEWS=n&amp;CSC=Y&amp;PAGE=toc&amp;D=yrovft&amp;AN=01586158-000000000-00000</v>
      </c>
      <c r="N314" t="s">
        <v>2979</v>
      </c>
      <c r="O314" t="s">
        <v>2151</v>
      </c>
      <c r="P314" t="s">
        <v>2431</v>
      </c>
      <c r="Q314">
        <v>1428052</v>
      </c>
      <c r="R314" t="s">
        <v>1986</v>
      </c>
      <c r="S314" t="s">
        <v>84</v>
      </c>
      <c r="T314" t="s">
        <v>2152</v>
      </c>
      <c r="U314" t="s">
        <v>3024</v>
      </c>
      <c r="V314" t="b">
        <v>1</v>
      </c>
      <c r="W314" t="s">
        <v>699</v>
      </c>
      <c r="X314" t="b">
        <v>0</v>
      </c>
      <c r="Y314" t="s">
        <v>2022</v>
      </c>
      <c r="Z314" t="s">
        <v>1351</v>
      </c>
      <c r="AA314" t="s">
        <v>192</v>
      </c>
      <c r="AB314" t="s">
        <v>192</v>
      </c>
    </row>
    <row r="315" spans="1:28" x14ac:dyDescent="0.3">
      <c r="A315" t="s">
        <v>1721</v>
      </c>
      <c r="B315" t="s">
        <v>2022</v>
      </c>
      <c r="C315" t="s">
        <v>2464</v>
      </c>
      <c r="D315" t="s">
        <v>44</v>
      </c>
      <c r="E315" s="1">
        <v>46055</v>
      </c>
      <c r="F315">
        <v>1</v>
      </c>
      <c r="G315">
        <v>1</v>
      </c>
      <c r="H315">
        <v>5</v>
      </c>
      <c r="I315">
        <v>1</v>
      </c>
      <c r="J315" t="s">
        <v>1984</v>
      </c>
      <c r="K315" t="s">
        <v>2062</v>
      </c>
      <c r="L315" t="s">
        <v>2441</v>
      </c>
      <c r="M315" s="3" t="str">
        <f>HYPERLINK("https://ovidsp.ovid.com/ovidweb.cgi?T=JS&amp;NEWS=n&amp;CSC=Y&amp;PAGE=toc&amp;D=yrovft&amp;AN=02272941-000000000-00000","https://ovidsp.ovid.com/ovidweb.cgi?T=JS&amp;NEWS=n&amp;CSC=Y&amp;PAGE=toc&amp;D=yrovft&amp;AN=02272941-000000000-00000")</f>
        <v>https://ovidsp.ovid.com/ovidweb.cgi?T=JS&amp;NEWS=n&amp;CSC=Y&amp;PAGE=toc&amp;D=yrovft&amp;AN=02272941-000000000-00000</v>
      </c>
      <c r="N315" t="s">
        <v>2514</v>
      </c>
      <c r="O315" t="s">
        <v>2151</v>
      </c>
      <c r="P315" t="s">
        <v>2431</v>
      </c>
      <c r="Q315">
        <v>1428052</v>
      </c>
      <c r="R315" t="s">
        <v>2554</v>
      </c>
      <c r="S315" t="s">
        <v>84</v>
      </c>
      <c r="T315" t="s">
        <v>2152</v>
      </c>
      <c r="U315" t="s">
        <v>2535</v>
      </c>
      <c r="V315" t="b">
        <v>0</v>
      </c>
      <c r="W315" t="s">
        <v>2022</v>
      </c>
      <c r="X315" t="b">
        <v>0</v>
      </c>
      <c r="Y315" t="s">
        <v>2022</v>
      </c>
      <c r="Z315" t="s">
        <v>1699</v>
      </c>
      <c r="AA315" t="s">
        <v>192</v>
      </c>
      <c r="AB315" t="s">
        <v>192</v>
      </c>
    </row>
    <row r="316" spans="1:28" x14ac:dyDescent="0.3">
      <c r="A316" t="s">
        <v>3087</v>
      </c>
      <c r="B316" t="s">
        <v>2022</v>
      </c>
      <c r="C316" t="s">
        <v>1138</v>
      </c>
      <c r="D316" t="s">
        <v>44</v>
      </c>
      <c r="E316" s="1">
        <v>46055</v>
      </c>
      <c r="F316">
        <v>1</v>
      </c>
      <c r="G316">
        <v>1</v>
      </c>
      <c r="H316">
        <v>12</v>
      </c>
      <c r="I316">
        <v>1</v>
      </c>
      <c r="J316" t="s">
        <v>1608</v>
      </c>
      <c r="K316" t="s">
        <v>2279</v>
      </c>
      <c r="L316" t="s">
        <v>712</v>
      </c>
      <c r="M316" s="3" t="str">
        <f>HYPERLINK("https://ovidsp.ovid.com/ovidweb.cgi?T=JS&amp;NEWS=n&amp;CSC=Y&amp;PAGE=toc&amp;D=yrovft&amp;AN=01861735-000000000-00000","https://ovidsp.ovid.com/ovidweb.cgi?T=JS&amp;NEWS=n&amp;CSC=Y&amp;PAGE=toc&amp;D=yrovft&amp;AN=01861735-000000000-00000")</f>
        <v>https://ovidsp.ovid.com/ovidweb.cgi?T=JS&amp;NEWS=n&amp;CSC=Y&amp;PAGE=toc&amp;D=yrovft&amp;AN=01861735-000000000-00000</v>
      </c>
      <c r="N316" t="s">
        <v>2950</v>
      </c>
      <c r="O316" t="s">
        <v>2151</v>
      </c>
      <c r="P316" t="s">
        <v>2431</v>
      </c>
      <c r="Q316">
        <v>1428052</v>
      </c>
      <c r="R316" t="s">
        <v>3093</v>
      </c>
      <c r="S316" t="s">
        <v>84</v>
      </c>
      <c r="T316" t="s">
        <v>2152</v>
      </c>
      <c r="U316" t="s">
        <v>1211</v>
      </c>
      <c r="V316" t="b">
        <v>0</v>
      </c>
      <c r="W316" t="s">
        <v>2022</v>
      </c>
      <c r="X316" t="b">
        <v>0</v>
      </c>
      <c r="Y316" t="s">
        <v>2022</v>
      </c>
      <c r="Z316" t="s">
        <v>1413</v>
      </c>
      <c r="AA316" t="s">
        <v>192</v>
      </c>
      <c r="AB316" t="s">
        <v>192</v>
      </c>
    </row>
    <row r="317" spans="1:28" x14ac:dyDescent="0.3">
      <c r="A317" t="s">
        <v>1990</v>
      </c>
      <c r="B317" t="s">
        <v>2022</v>
      </c>
      <c r="C317" t="s">
        <v>2676</v>
      </c>
      <c r="D317" t="s">
        <v>44</v>
      </c>
      <c r="E317" s="1">
        <v>46055</v>
      </c>
      <c r="F317">
        <v>1</v>
      </c>
      <c r="G317">
        <v>1</v>
      </c>
      <c r="H317">
        <v>2</v>
      </c>
      <c r="I317">
        <v>1</v>
      </c>
      <c r="J317" t="s">
        <v>31</v>
      </c>
      <c r="K317" t="s">
        <v>1331</v>
      </c>
      <c r="L317" t="s">
        <v>2441</v>
      </c>
      <c r="M317" s="3" t="str">
        <f>HYPERLINK("https://ovidsp.ovid.com/ovidweb.cgi?T=JS&amp;NEWS=n&amp;CSC=Y&amp;PAGE=toc&amp;D=yrovft&amp;AN=02276190-000000000-00000","https://ovidsp.ovid.com/ovidweb.cgi?T=JS&amp;NEWS=n&amp;CSC=Y&amp;PAGE=toc&amp;D=yrovft&amp;AN=02276190-000000000-00000")</f>
        <v>https://ovidsp.ovid.com/ovidweb.cgi?T=JS&amp;NEWS=n&amp;CSC=Y&amp;PAGE=toc&amp;D=yrovft&amp;AN=02276190-000000000-00000</v>
      </c>
      <c r="N317" t="s">
        <v>2022</v>
      </c>
      <c r="O317" t="s">
        <v>2151</v>
      </c>
      <c r="P317" t="s">
        <v>2431</v>
      </c>
      <c r="Q317">
        <v>1428052</v>
      </c>
      <c r="R317" t="s">
        <v>506</v>
      </c>
      <c r="S317" t="s">
        <v>84</v>
      </c>
      <c r="T317" t="s">
        <v>2152</v>
      </c>
      <c r="U317" t="s">
        <v>1553</v>
      </c>
      <c r="V317" t="b">
        <v>0</v>
      </c>
      <c r="W317" t="s">
        <v>2022</v>
      </c>
      <c r="X317" t="b">
        <v>0</v>
      </c>
      <c r="Y317" t="s">
        <v>2022</v>
      </c>
      <c r="Z317" t="s">
        <v>1351</v>
      </c>
      <c r="AA317" t="s">
        <v>192</v>
      </c>
      <c r="AB317" t="s">
        <v>192</v>
      </c>
    </row>
    <row r="318" spans="1:28" x14ac:dyDescent="0.3">
      <c r="A318" t="s">
        <v>375</v>
      </c>
      <c r="B318" t="s">
        <v>1091</v>
      </c>
      <c r="C318" t="s">
        <v>1279</v>
      </c>
      <c r="D318" t="s">
        <v>44</v>
      </c>
      <c r="E318" s="1">
        <v>46055</v>
      </c>
      <c r="F318">
        <v>1</v>
      </c>
      <c r="G318">
        <v>1</v>
      </c>
      <c r="H318">
        <v>25</v>
      </c>
      <c r="I318">
        <v>20</v>
      </c>
      <c r="J318" t="s">
        <v>215</v>
      </c>
      <c r="K318" t="s">
        <v>1246</v>
      </c>
      <c r="L318" t="s">
        <v>2213</v>
      </c>
      <c r="M318" s="3" t="str">
        <f>HYPERLINK("https://ovidsp.ovid.com/ovidweb.cgi?T=JS&amp;NEWS=n&amp;CSC=Y&amp;PAGE=toc&amp;D=yrovft&amp;AN=00132985-000000000-00000","https://ovidsp.ovid.com/ovidweb.cgi?T=JS&amp;NEWS=n&amp;CSC=Y&amp;PAGE=toc&amp;D=yrovft&amp;AN=00132985-000000000-00000")</f>
        <v>https://ovidsp.ovid.com/ovidweb.cgi?T=JS&amp;NEWS=n&amp;CSC=Y&amp;PAGE=toc&amp;D=yrovft&amp;AN=00132985-000000000-00000</v>
      </c>
      <c r="N318" t="s">
        <v>2138</v>
      </c>
      <c r="O318" t="s">
        <v>2151</v>
      </c>
      <c r="P318" t="s">
        <v>2431</v>
      </c>
      <c r="Q318">
        <v>1428052</v>
      </c>
      <c r="R318" t="s">
        <v>486</v>
      </c>
      <c r="S318" t="s">
        <v>84</v>
      </c>
      <c r="T318" t="s">
        <v>2152</v>
      </c>
      <c r="U318" t="s">
        <v>1611</v>
      </c>
      <c r="V318" t="b">
        <v>0</v>
      </c>
      <c r="W318" t="s">
        <v>2022</v>
      </c>
      <c r="X318" t="b">
        <v>0</v>
      </c>
      <c r="Y318" t="s">
        <v>2022</v>
      </c>
      <c r="Z318" t="s">
        <v>1351</v>
      </c>
      <c r="AA318" t="s">
        <v>192</v>
      </c>
      <c r="AB318" t="s">
        <v>192</v>
      </c>
    </row>
    <row r="319" spans="1:28" x14ac:dyDescent="0.3">
      <c r="A319" t="s">
        <v>2885</v>
      </c>
      <c r="B319" t="s">
        <v>2452</v>
      </c>
      <c r="C319" t="s">
        <v>2452</v>
      </c>
      <c r="D319" t="s">
        <v>44</v>
      </c>
      <c r="E319" s="1">
        <v>46055</v>
      </c>
      <c r="F319">
        <v>1</v>
      </c>
      <c r="G319">
        <v>1</v>
      </c>
      <c r="H319">
        <v>13</v>
      </c>
      <c r="I319">
        <v>2</v>
      </c>
      <c r="J319" t="s">
        <v>389</v>
      </c>
      <c r="K319" t="s">
        <v>446</v>
      </c>
      <c r="L319" t="s">
        <v>2441</v>
      </c>
      <c r="M319" s="3" t="str">
        <f>HYPERLINK("https://ovidsp.ovid.com/ovidweb.cgi?T=JS&amp;NEWS=n&amp;CSC=Y&amp;PAGE=toc&amp;D=yrovft&amp;AN=01787401-000000000-00000","https://ovidsp.ovid.com/ovidweb.cgi?T=JS&amp;NEWS=n&amp;CSC=Y&amp;PAGE=toc&amp;D=yrovft&amp;AN=01787401-000000000-00000")</f>
        <v>https://ovidsp.ovid.com/ovidweb.cgi?T=JS&amp;NEWS=n&amp;CSC=Y&amp;PAGE=toc&amp;D=yrovft&amp;AN=01787401-000000000-00000</v>
      </c>
      <c r="N319" t="s">
        <v>2361</v>
      </c>
      <c r="O319" t="s">
        <v>2151</v>
      </c>
      <c r="P319" t="s">
        <v>2431</v>
      </c>
      <c r="Q319">
        <v>1428052</v>
      </c>
      <c r="R319" t="s">
        <v>242</v>
      </c>
      <c r="S319" t="s">
        <v>84</v>
      </c>
      <c r="T319" t="s">
        <v>2152</v>
      </c>
      <c r="U319" t="s">
        <v>1352</v>
      </c>
      <c r="V319" t="b">
        <v>0</v>
      </c>
      <c r="W319" t="s">
        <v>2022</v>
      </c>
      <c r="X319" t="b">
        <v>0</v>
      </c>
      <c r="Y319" t="s">
        <v>2022</v>
      </c>
      <c r="Z319" t="s">
        <v>1351</v>
      </c>
      <c r="AA319" t="s">
        <v>192</v>
      </c>
      <c r="AB319" t="s">
        <v>192</v>
      </c>
    </row>
    <row r="320" spans="1:28" x14ac:dyDescent="0.3">
      <c r="A320" t="s">
        <v>393</v>
      </c>
      <c r="B320" t="s">
        <v>2879</v>
      </c>
      <c r="C320" t="s">
        <v>3090</v>
      </c>
      <c r="D320" t="s">
        <v>44</v>
      </c>
      <c r="E320" s="1">
        <v>46055</v>
      </c>
      <c r="F320">
        <v>26</v>
      </c>
      <c r="G320">
        <v>1</v>
      </c>
      <c r="H320">
        <v>37</v>
      </c>
      <c r="I320">
        <v>2</v>
      </c>
      <c r="J320" t="s">
        <v>1911</v>
      </c>
      <c r="K320" t="s">
        <v>2544</v>
      </c>
      <c r="L320" t="s">
        <v>2081</v>
      </c>
      <c r="M320" s="3" t="str">
        <f>HYPERLINK("https://ovidsp.ovid.com/ovidweb.cgi?T=JS&amp;NEWS=n&amp;CSC=Y&amp;PAGE=toc&amp;D=yrovft&amp;AN=00001756-000000000-00000","https://ovidsp.ovid.com/ovidweb.cgi?T=JS&amp;NEWS=n&amp;CSC=Y&amp;PAGE=toc&amp;D=yrovft&amp;AN=00001756-000000000-00000")</f>
        <v>https://ovidsp.ovid.com/ovidweb.cgi?T=JS&amp;NEWS=n&amp;CSC=Y&amp;PAGE=toc&amp;D=yrovft&amp;AN=00001756-000000000-00000</v>
      </c>
      <c r="N320" t="s">
        <v>880</v>
      </c>
      <c r="O320" t="s">
        <v>2151</v>
      </c>
      <c r="P320" t="s">
        <v>2431</v>
      </c>
      <c r="Q320">
        <v>1428052</v>
      </c>
      <c r="R320" t="s">
        <v>2763</v>
      </c>
      <c r="S320" t="s">
        <v>84</v>
      </c>
      <c r="T320" t="s">
        <v>2152</v>
      </c>
      <c r="U320" t="s">
        <v>2017</v>
      </c>
      <c r="V320" t="b">
        <v>1</v>
      </c>
      <c r="W320" t="s">
        <v>0</v>
      </c>
      <c r="X320" t="b">
        <v>0</v>
      </c>
      <c r="Y320" t="s">
        <v>2022</v>
      </c>
      <c r="Z320" t="s">
        <v>1281</v>
      </c>
      <c r="AA320" t="s">
        <v>192</v>
      </c>
      <c r="AB320" t="s">
        <v>192</v>
      </c>
    </row>
    <row r="321" spans="1:28" x14ac:dyDescent="0.3">
      <c r="A321" t="s">
        <v>2154</v>
      </c>
      <c r="B321" t="s">
        <v>1751</v>
      </c>
      <c r="C321" t="s">
        <v>635</v>
      </c>
      <c r="D321" t="s">
        <v>44</v>
      </c>
      <c r="E321" s="1">
        <v>46055</v>
      </c>
      <c r="F321">
        <v>76</v>
      </c>
      <c r="G321">
        <v>1</v>
      </c>
      <c r="H321">
        <v>98</v>
      </c>
      <c r="I321">
        <v>2</v>
      </c>
      <c r="J321" t="s">
        <v>2585</v>
      </c>
      <c r="K321" t="s">
        <v>1959</v>
      </c>
      <c r="L321" t="s">
        <v>712</v>
      </c>
      <c r="M321" s="3" t="str">
        <f>HYPERLINK("https://ovidsp.ovid.com/ovidweb.cgi?T=JS&amp;NEWS=n&amp;CSC=Y&amp;PAGE=toc&amp;D=yrovft&amp;AN=00006123-000000000-00000","https://ovidsp.ovid.com/ovidweb.cgi?T=JS&amp;NEWS=n&amp;CSC=Y&amp;PAGE=toc&amp;D=yrovft&amp;AN=00006123-000000000-00000")</f>
        <v>https://ovidsp.ovid.com/ovidweb.cgi?T=JS&amp;NEWS=n&amp;CSC=Y&amp;PAGE=toc&amp;D=yrovft&amp;AN=00006123-000000000-00000</v>
      </c>
      <c r="N321" t="s">
        <v>2261</v>
      </c>
      <c r="O321" t="s">
        <v>2151</v>
      </c>
      <c r="P321" t="s">
        <v>2431</v>
      </c>
      <c r="Q321">
        <v>1428052</v>
      </c>
      <c r="R321" t="s">
        <v>2109</v>
      </c>
      <c r="S321" t="s">
        <v>84</v>
      </c>
      <c r="T321" t="s">
        <v>2152</v>
      </c>
      <c r="U321" t="s">
        <v>2837</v>
      </c>
      <c r="V321" t="b">
        <v>1</v>
      </c>
      <c r="W321" t="s">
        <v>483</v>
      </c>
      <c r="X321" t="b">
        <v>0</v>
      </c>
      <c r="Y321" t="s">
        <v>2022</v>
      </c>
      <c r="Z321" t="s">
        <v>1413</v>
      </c>
      <c r="AA321" t="s">
        <v>192</v>
      </c>
      <c r="AB321" t="s">
        <v>192</v>
      </c>
    </row>
    <row r="322" spans="1:28" x14ac:dyDescent="0.3">
      <c r="A322" t="s">
        <v>3006</v>
      </c>
      <c r="B322" t="s">
        <v>1549</v>
      </c>
      <c r="C322" t="s">
        <v>1549</v>
      </c>
      <c r="D322" t="s">
        <v>44</v>
      </c>
      <c r="E322" s="1">
        <v>46055</v>
      </c>
      <c r="F322">
        <v>1</v>
      </c>
      <c r="G322">
        <v>1</v>
      </c>
      <c r="H322">
        <v>4</v>
      </c>
      <c r="I322">
        <v>1</v>
      </c>
      <c r="J322" t="s">
        <v>2173</v>
      </c>
      <c r="K322" t="s">
        <v>1604</v>
      </c>
      <c r="L322" t="s">
        <v>94</v>
      </c>
      <c r="M322" s="3" t="str">
        <f>HYPERLINK("https://ovidsp.ovid.com/ovidweb.cgi?T=JS&amp;NEWS=n&amp;CSC=Y&amp;PAGE=toc&amp;D=yrovft&amp;AN=02224449-000000000-00000","https://ovidsp.ovid.com/ovidweb.cgi?T=JS&amp;NEWS=n&amp;CSC=Y&amp;PAGE=toc&amp;D=yrovft&amp;AN=02224449-000000000-00000")</f>
        <v>https://ovidsp.ovid.com/ovidweb.cgi?T=JS&amp;NEWS=n&amp;CSC=Y&amp;PAGE=toc&amp;D=yrovft&amp;AN=02224449-000000000-00000</v>
      </c>
      <c r="N322" t="s">
        <v>2127</v>
      </c>
      <c r="O322" t="s">
        <v>2151</v>
      </c>
      <c r="P322" t="s">
        <v>2431</v>
      </c>
      <c r="Q322">
        <v>1428052</v>
      </c>
      <c r="R322" t="s">
        <v>1064</v>
      </c>
      <c r="S322" t="s">
        <v>84</v>
      </c>
      <c r="T322" t="s">
        <v>2152</v>
      </c>
      <c r="U322" t="s">
        <v>2762</v>
      </c>
      <c r="V322" t="b">
        <v>0</v>
      </c>
      <c r="W322" t="s">
        <v>2022</v>
      </c>
      <c r="X322" t="b">
        <v>0</v>
      </c>
      <c r="Y322" t="s">
        <v>2022</v>
      </c>
      <c r="Z322" t="s">
        <v>1351</v>
      </c>
      <c r="AA322" t="s">
        <v>192</v>
      </c>
      <c r="AB322" t="s">
        <v>192</v>
      </c>
    </row>
    <row r="323" spans="1:28" x14ac:dyDescent="0.3">
      <c r="A323" t="s">
        <v>3006</v>
      </c>
      <c r="B323" t="s">
        <v>2022</v>
      </c>
      <c r="C323" t="s">
        <v>1549</v>
      </c>
      <c r="D323" t="s">
        <v>44</v>
      </c>
      <c r="E323" s="1">
        <v>46055</v>
      </c>
      <c r="F323">
        <v>4</v>
      </c>
      <c r="G323">
        <v>1</v>
      </c>
      <c r="H323">
        <v>7</v>
      </c>
      <c r="I323">
        <v>1</v>
      </c>
      <c r="J323" t="s">
        <v>414</v>
      </c>
      <c r="K323" t="s">
        <v>94</v>
      </c>
      <c r="L323" t="s">
        <v>2441</v>
      </c>
      <c r="M323" s="3" t="str">
        <f>HYPERLINK("https://ovidsp.ovid.com/ovidweb.cgi?T=JS&amp;NEWS=n&amp;CSC=Y&amp;PAGE=toc&amp;D=yrovft&amp;AN=02273893-000000000-00000","https://ovidsp.ovid.com/ovidweb.cgi?T=JS&amp;NEWS=n&amp;CSC=Y&amp;PAGE=toc&amp;D=yrovft&amp;AN=02273893-000000000-00000")</f>
        <v>https://ovidsp.ovid.com/ovidweb.cgi?T=JS&amp;NEWS=n&amp;CSC=Y&amp;PAGE=toc&amp;D=yrovft&amp;AN=02273893-000000000-00000</v>
      </c>
      <c r="N323" t="s">
        <v>729</v>
      </c>
      <c r="O323" t="s">
        <v>2151</v>
      </c>
      <c r="P323" t="s">
        <v>2431</v>
      </c>
      <c r="Q323">
        <v>1428052</v>
      </c>
      <c r="R323" t="s">
        <v>2378</v>
      </c>
      <c r="S323" t="s">
        <v>84</v>
      </c>
      <c r="T323" t="s">
        <v>2152</v>
      </c>
      <c r="U323" t="s">
        <v>1645</v>
      </c>
      <c r="V323" t="b">
        <v>0</v>
      </c>
      <c r="W323" t="s">
        <v>2022</v>
      </c>
      <c r="X323" t="b">
        <v>0</v>
      </c>
      <c r="Y323" t="s">
        <v>2022</v>
      </c>
      <c r="Z323" t="s">
        <v>2022</v>
      </c>
      <c r="AA323" t="s">
        <v>192</v>
      </c>
      <c r="AB323" t="s">
        <v>192</v>
      </c>
    </row>
    <row r="324" spans="1:28" x14ac:dyDescent="0.3">
      <c r="A324" t="s">
        <v>318</v>
      </c>
      <c r="B324" t="s">
        <v>877</v>
      </c>
      <c r="C324" t="s">
        <v>2059</v>
      </c>
      <c r="D324" t="s">
        <v>44</v>
      </c>
      <c r="E324" s="1">
        <v>46055</v>
      </c>
      <c r="F324">
        <v>11</v>
      </c>
      <c r="G324">
        <v>1</v>
      </c>
      <c r="H324">
        <v>26</v>
      </c>
      <c r="I324">
        <v>4</v>
      </c>
      <c r="J324" t="s">
        <v>2400</v>
      </c>
      <c r="K324" t="s">
        <v>698</v>
      </c>
      <c r="L324" t="s">
        <v>827</v>
      </c>
      <c r="M324" s="3" t="str">
        <f>HYPERLINK("https://ovidsp.ovid.com/ovidweb.cgi?T=JS&amp;NEWS=n&amp;CSC=Y&amp;PAGE=toc&amp;D=yrovft&amp;AN=00013414-000000000-00000","https://ovidsp.ovid.com/ovidweb.cgi?T=JS&amp;NEWS=n&amp;CSC=Y&amp;PAGE=toc&amp;D=yrovft&amp;AN=00013414-000000000-00000")</f>
        <v>https://ovidsp.ovid.com/ovidweb.cgi?T=JS&amp;NEWS=n&amp;CSC=Y&amp;PAGE=toc&amp;D=yrovft&amp;AN=00013414-000000000-00000</v>
      </c>
      <c r="N324" t="s">
        <v>279</v>
      </c>
      <c r="O324" t="s">
        <v>2151</v>
      </c>
      <c r="P324" t="s">
        <v>2431</v>
      </c>
      <c r="Q324">
        <v>1428052</v>
      </c>
      <c r="R324" t="s">
        <v>1913</v>
      </c>
      <c r="S324" t="s">
        <v>84</v>
      </c>
      <c r="T324" t="s">
        <v>2152</v>
      </c>
      <c r="U324" t="s">
        <v>1423</v>
      </c>
      <c r="V324" t="b">
        <v>1</v>
      </c>
      <c r="W324" t="s">
        <v>1789</v>
      </c>
      <c r="X324" t="b">
        <v>0</v>
      </c>
      <c r="Y324" t="s">
        <v>2022</v>
      </c>
      <c r="Z324" t="s">
        <v>2914</v>
      </c>
      <c r="AA324" t="s">
        <v>192</v>
      </c>
      <c r="AB324" t="s">
        <v>192</v>
      </c>
    </row>
    <row r="325" spans="1:28" x14ac:dyDescent="0.3">
      <c r="A325" t="s">
        <v>2943</v>
      </c>
      <c r="B325" t="s">
        <v>1269</v>
      </c>
      <c r="C325" t="s">
        <v>1060</v>
      </c>
      <c r="D325" t="s">
        <v>44</v>
      </c>
      <c r="E325" s="1">
        <v>46055</v>
      </c>
      <c r="F325">
        <v>36</v>
      </c>
      <c r="G325">
        <v>1</v>
      </c>
      <c r="H325">
        <v>47</v>
      </c>
      <c r="I325">
        <v>2</v>
      </c>
      <c r="J325" t="s">
        <v>2585</v>
      </c>
      <c r="K325" t="s">
        <v>1959</v>
      </c>
      <c r="L325" t="s">
        <v>712</v>
      </c>
      <c r="M325" s="3" t="str">
        <f>HYPERLINK("https://ovidsp.ovid.com/ovidweb.cgi?T=JS&amp;NEWS=n&amp;CSC=Y&amp;PAGE=toc&amp;D=yrovft&amp;AN=00006231-000000000-00000","https://ovidsp.ovid.com/ovidweb.cgi?T=JS&amp;NEWS=n&amp;CSC=Y&amp;PAGE=toc&amp;D=yrovft&amp;AN=00006231-000000000-00000")</f>
        <v>https://ovidsp.ovid.com/ovidweb.cgi?T=JS&amp;NEWS=n&amp;CSC=Y&amp;PAGE=toc&amp;D=yrovft&amp;AN=00006231-000000000-00000</v>
      </c>
      <c r="N325" t="s">
        <v>2419</v>
      </c>
      <c r="O325" t="s">
        <v>2151</v>
      </c>
      <c r="P325" t="s">
        <v>2431</v>
      </c>
      <c r="Q325">
        <v>1428052</v>
      </c>
      <c r="R325" t="s">
        <v>2101</v>
      </c>
      <c r="S325" t="s">
        <v>84</v>
      </c>
      <c r="T325" t="s">
        <v>2152</v>
      </c>
      <c r="U325" t="s">
        <v>1696</v>
      </c>
      <c r="V325" t="b">
        <v>1</v>
      </c>
      <c r="W325" t="s">
        <v>2615</v>
      </c>
      <c r="X325" t="b">
        <v>0</v>
      </c>
      <c r="Y325" t="s">
        <v>2022</v>
      </c>
      <c r="Z325" t="s">
        <v>1351</v>
      </c>
      <c r="AA325" t="s">
        <v>192</v>
      </c>
      <c r="AB325" t="s">
        <v>192</v>
      </c>
    </row>
    <row r="326" spans="1:28" x14ac:dyDescent="0.3">
      <c r="A326" t="s">
        <v>900</v>
      </c>
      <c r="B326" t="s">
        <v>1772</v>
      </c>
      <c r="C326" t="s">
        <v>2103</v>
      </c>
      <c r="D326" t="s">
        <v>44</v>
      </c>
      <c r="E326" s="1">
        <v>46055</v>
      </c>
      <c r="F326">
        <v>40</v>
      </c>
      <c r="G326">
        <v>1</v>
      </c>
      <c r="H326">
        <v>51</v>
      </c>
      <c r="I326">
        <v>1</v>
      </c>
      <c r="J326" t="s">
        <v>672</v>
      </c>
      <c r="K326" t="s">
        <v>1959</v>
      </c>
      <c r="L326" t="s">
        <v>2919</v>
      </c>
      <c r="M326" s="3" t="str">
        <f>HYPERLINK("https://ovidsp.ovid.com/ovidweb.cgi?T=JS&amp;NEWS=n&amp;CSC=Y&amp;PAGE=toc&amp;D=yrovft&amp;AN=00006223-000000000-00000","https://ovidsp.ovid.com/ovidweb.cgi?T=JS&amp;NEWS=n&amp;CSC=Y&amp;PAGE=toc&amp;D=yrovft&amp;AN=00006223-000000000-00000")</f>
        <v>https://ovidsp.ovid.com/ovidweb.cgi?T=JS&amp;NEWS=n&amp;CSC=Y&amp;PAGE=toc&amp;D=yrovft&amp;AN=00006223-000000000-00000</v>
      </c>
      <c r="N326" t="s">
        <v>2864</v>
      </c>
      <c r="O326" t="s">
        <v>2151</v>
      </c>
      <c r="P326" t="s">
        <v>2431</v>
      </c>
      <c r="Q326">
        <v>1428052</v>
      </c>
      <c r="R326" t="s">
        <v>3010</v>
      </c>
      <c r="S326" t="s">
        <v>84</v>
      </c>
      <c r="T326" t="s">
        <v>2152</v>
      </c>
      <c r="U326" t="s">
        <v>2961</v>
      </c>
      <c r="V326" t="b">
        <v>1</v>
      </c>
      <c r="W326" t="s">
        <v>759</v>
      </c>
      <c r="X326" t="b">
        <v>0</v>
      </c>
      <c r="Y326" t="s">
        <v>2022</v>
      </c>
      <c r="Z326" t="s">
        <v>478</v>
      </c>
      <c r="AA326" t="s">
        <v>192</v>
      </c>
      <c r="AB326" t="s">
        <v>192</v>
      </c>
    </row>
    <row r="327" spans="1:28" x14ac:dyDescent="0.3">
      <c r="A327" t="s">
        <v>478</v>
      </c>
      <c r="B327" t="s">
        <v>2470</v>
      </c>
      <c r="C327" t="s">
        <v>144</v>
      </c>
      <c r="D327" t="s">
        <v>44</v>
      </c>
      <c r="E327" s="1">
        <v>46055</v>
      </c>
      <c r="F327">
        <v>45</v>
      </c>
      <c r="G327">
        <v>1</v>
      </c>
      <c r="H327">
        <v>56</v>
      </c>
      <c r="I327">
        <v>2</v>
      </c>
      <c r="J327" t="s">
        <v>2585</v>
      </c>
      <c r="K327" t="s">
        <v>1959</v>
      </c>
      <c r="L327" t="s">
        <v>712</v>
      </c>
      <c r="M327" s="3" t="str">
        <f>HYPERLINK("https://ovidsp.ovid.com/ovidweb.cgi?T=JS&amp;NEWS=n&amp;CSC=Y&amp;PAGE=toc&amp;D=yrovft&amp;AN=00152193-000000000-00000","https://ovidsp.ovid.com/ovidweb.cgi?T=JS&amp;NEWS=n&amp;CSC=Y&amp;PAGE=toc&amp;D=yrovft&amp;AN=00152193-000000000-00000")</f>
        <v>https://ovidsp.ovid.com/ovidweb.cgi?T=JS&amp;NEWS=n&amp;CSC=Y&amp;PAGE=toc&amp;D=yrovft&amp;AN=00152193-000000000-00000</v>
      </c>
      <c r="N327" t="s">
        <v>1198</v>
      </c>
      <c r="O327" t="s">
        <v>2151</v>
      </c>
      <c r="P327" t="s">
        <v>2431</v>
      </c>
      <c r="Q327">
        <v>1428052</v>
      </c>
      <c r="R327" t="s">
        <v>1415</v>
      </c>
      <c r="S327" t="s">
        <v>84</v>
      </c>
      <c r="T327" t="s">
        <v>2152</v>
      </c>
      <c r="U327" t="s">
        <v>178</v>
      </c>
      <c r="V327" t="b">
        <v>0</v>
      </c>
      <c r="W327" t="s">
        <v>2022</v>
      </c>
      <c r="X327" t="b">
        <v>0</v>
      </c>
      <c r="Y327" t="s">
        <v>2022</v>
      </c>
      <c r="Z327" t="s">
        <v>2440</v>
      </c>
      <c r="AA327" t="s">
        <v>192</v>
      </c>
      <c r="AB327" t="s">
        <v>192</v>
      </c>
    </row>
    <row r="328" spans="1:28" x14ac:dyDescent="0.3">
      <c r="A328" t="s">
        <v>1212</v>
      </c>
      <c r="B328" t="s">
        <v>1355</v>
      </c>
      <c r="C328" t="s">
        <v>325</v>
      </c>
      <c r="D328" t="s">
        <v>44</v>
      </c>
      <c r="E328" s="1">
        <v>46055</v>
      </c>
      <c r="F328">
        <v>39</v>
      </c>
      <c r="G328">
        <v>1</v>
      </c>
      <c r="H328">
        <v>50</v>
      </c>
      <c r="I328">
        <v>1</v>
      </c>
      <c r="J328" t="s">
        <v>672</v>
      </c>
      <c r="K328" t="s">
        <v>1959</v>
      </c>
      <c r="L328" t="s">
        <v>2919</v>
      </c>
      <c r="M328" s="3" t="str">
        <f>HYPERLINK("https://ovidsp.ovid.com/ovidweb.cgi?T=JS&amp;NEWS=n&amp;CSC=Y&amp;PAGE=toc&amp;D=yrovft&amp;AN=00006216-000000000-00000","https://ovidsp.ovid.com/ovidweb.cgi?T=JS&amp;NEWS=n&amp;CSC=Y&amp;PAGE=toc&amp;D=yrovft&amp;AN=00006216-000000000-00000")</f>
        <v>https://ovidsp.ovid.com/ovidweb.cgi?T=JS&amp;NEWS=n&amp;CSC=Y&amp;PAGE=toc&amp;D=yrovft&amp;AN=00006216-000000000-00000</v>
      </c>
      <c r="N328" t="s">
        <v>1672</v>
      </c>
      <c r="O328" t="s">
        <v>2151</v>
      </c>
      <c r="P328" t="s">
        <v>2431</v>
      </c>
      <c r="Q328">
        <v>1428052</v>
      </c>
      <c r="R328" t="s">
        <v>255</v>
      </c>
      <c r="S328" t="s">
        <v>84</v>
      </c>
      <c r="T328" t="s">
        <v>2152</v>
      </c>
      <c r="U328" t="s">
        <v>1167</v>
      </c>
      <c r="V328" t="b">
        <v>1</v>
      </c>
      <c r="W328" t="s">
        <v>2838</v>
      </c>
      <c r="X328" t="b">
        <v>0</v>
      </c>
      <c r="Y328" t="s">
        <v>2022</v>
      </c>
      <c r="Z328" t="s">
        <v>478</v>
      </c>
      <c r="AA328" t="s">
        <v>192</v>
      </c>
      <c r="AB328" t="s">
        <v>192</v>
      </c>
    </row>
    <row r="329" spans="1:28" x14ac:dyDescent="0.3">
      <c r="A329" t="s">
        <v>2372</v>
      </c>
      <c r="B329" t="s">
        <v>3143</v>
      </c>
      <c r="C329" t="s">
        <v>601</v>
      </c>
      <c r="D329" t="s">
        <v>44</v>
      </c>
      <c r="E329" s="1">
        <v>46055</v>
      </c>
      <c r="F329">
        <v>1</v>
      </c>
      <c r="G329">
        <v>1</v>
      </c>
      <c r="H329">
        <v>15</v>
      </c>
      <c r="I329">
        <v>6</v>
      </c>
      <c r="J329" t="s">
        <v>534</v>
      </c>
      <c r="K329" t="s">
        <v>526</v>
      </c>
      <c r="L329" t="s">
        <v>548</v>
      </c>
      <c r="M329" s="3" t="str">
        <f>HYPERLINK("https://ovidsp.ovid.com/ovidweb.cgi?T=JS&amp;NEWS=n&amp;CSC=Y&amp;PAGE=toc&amp;D=yrovft&amp;AN=01244666-000000000-00000","https://ovidsp.ovid.com/ovidweb.cgi?T=JS&amp;NEWS=n&amp;CSC=Y&amp;PAGE=toc&amp;D=yrovft&amp;AN=01244666-000000000-00000")</f>
        <v>https://ovidsp.ovid.com/ovidweb.cgi?T=JS&amp;NEWS=n&amp;CSC=Y&amp;PAGE=toc&amp;D=yrovft&amp;AN=01244666-000000000-00000</v>
      </c>
      <c r="N329" t="s">
        <v>2810</v>
      </c>
      <c r="O329" t="s">
        <v>2151</v>
      </c>
      <c r="P329" t="s">
        <v>2431</v>
      </c>
      <c r="Q329">
        <v>1428052</v>
      </c>
      <c r="R329" t="s">
        <v>2661</v>
      </c>
      <c r="S329" t="s">
        <v>84</v>
      </c>
      <c r="T329" t="s">
        <v>2152</v>
      </c>
      <c r="U329" t="s">
        <v>251</v>
      </c>
      <c r="V329" t="b">
        <v>0</v>
      </c>
      <c r="W329" t="s">
        <v>2022</v>
      </c>
      <c r="X329" t="b">
        <v>0</v>
      </c>
      <c r="Y329" t="s">
        <v>2022</v>
      </c>
      <c r="Z329" t="s">
        <v>2440</v>
      </c>
      <c r="AA329" t="s">
        <v>192</v>
      </c>
      <c r="AB329" t="s">
        <v>192</v>
      </c>
    </row>
    <row r="330" spans="1:28" x14ac:dyDescent="0.3">
      <c r="A330" t="s">
        <v>1869</v>
      </c>
      <c r="B330" t="s">
        <v>2904</v>
      </c>
      <c r="C330" t="s">
        <v>1958</v>
      </c>
      <c r="D330" t="s">
        <v>44</v>
      </c>
      <c r="E330" s="1">
        <v>46055</v>
      </c>
      <c r="F330">
        <v>36</v>
      </c>
      <c r="G330">
        <v>1</v>
      </c>
      <c r="H330">
        <v>47</v>
      </c>
      <c r="I330">
        <v>1</v>
      </c>
      <c r="J330" t="s">
        <v>672</v>
      </c>
      <c r="K330" t="s">
        <v>1959</v>
      </c>
      <c r="L330" t="s">
        <v>2919</v>
      </c>
      <c r="M330" s="3" t="str">
        <f>HYPERLINK("https://ovidsp.ovid.com/ovidweb.cgi?T=JS&amp;NEWS=n&amp;CSC=Y&amp;PAGE=toc&amp;D=yrovft&amp;AN=00024776-000000000-00000","https://ovidsp.ovid.com/ovidweb.cgi?T=JS&amp;NEWS=n&amp;CSC=Y&amp;PAGE=toc&amp;D=yrovft&amp;AN=00024776-000000000-00000")</f>
        <v>https://ovidsp.ovid.com/ovidweb.cgi?T=JS&amp;NEWS=n&amp;CSC=Y&amp;PAGE=toc&amp;D=yrovft&amp;AN=00024776-000000000-00000</v>
      </c>
      <c r="N330" t="s">
        <v>90</v>
      </c>
      <c r="O330" t="s">
        <v>2151</v>
      </c>
      <c r="P330" t="s">
        <v>2431</v>
      </c>
      <c r="Q330">
        <v>1428052</v>
      </c>
      <c r="R330" t="s">
        <v>2576</v>
      </c>
      <c r="S330" t="s">
        <v>84</v>
      </c>
      <c r="T330" t="s">
        <v>2152</v>
      </c>
      <c r="U330" t="s">
        <v>2597</v>
      </c>
      <c r="V330" t="b">
        <v>1</v>
      </c>
      <c r="W330" t="s">
        <v>2474</v>
      </c>
      <c r="X330" t="b">
        <v>0</v>
      </c>
      <c r="Y330" t="s">
        <v>2022</v>
      </c>
      <c r="Z330" t="s">
        <v>478</v>
      </c>
      <c r="AA330" t="s">
        <v>192</v>
      </c>
      <c r="AB330" t="s">
        <v>192</v>
      </c>
    </row>
    <row r="331" spans="1:28" x14ac:dyDescent="0.3">
      <c r="A331" t="s">
        <v>942</v>
      </c>
      <c r="B331" t="s">
        <v>1286</v>
      </c>
      <c r="C331" t="s">
        <v>2022</v>
      </c>
      <c r="D331" t="s">
        <v>44</v>
      </c>
      <c r="E331" s="1">
        <v>46055</v>
      </c>
      <c r="F331">
        <v>13</v>
      </c>
      <c r="G331">
        <v>1</v>
      </c>
      <c r="H331">
        <v>24</v>
      </c>
      <c r="I331">
        <v>1</v>
      </c>
      <c r="J331" t="s">
        <v>672</v>
      </c>
      <c r="K331" t="s">
        <v>1959</v>
      </c>
      <c r="L331" t="s">
        <v>2919</v>
      </c>
      <c r="M331" s="3" t="str">
        <f>HYPERLINK("https://ovidsp.ovid.com/ovidweb.cgi?T=JS&amp;NEWS=n&amp;CSC=Y&amp;PAGE=toc&amp;D=yrovft&amp;AN=00152258-000000000-00000","https://ovidsp.ovid.com/ovidweb.cgi?T=JS&amp;NEWS=n&amp;CSC=Y&amp;PAGE=toc&amp;D=yrovft&amp;AN=00152258-000000000-00000")</f>
        <v>https://ovidsp.ovid.com/ovidweb.cgi?T=JS&amp;NEWS=n&amp;CSC=Y&amp;PAGE=toc&amp;D=yrovft&amp;AN=00152258-000000000-00000</v>
      </c>
      <c r="N331" t="s">
        <v>1582</v>
      </c>
      <c r="O331" t="s">
        <v>2151</v>
      </c>
      <c r="P331" t="s">
        <v>2431</v>
      </c>
      <c r="Q331">
        <v>1428052</v>
      </c>
      <c r="R331" t="s">
        <v>2044</v>
      </c>
      <c r="S331" t="s">
        <v>84</v>
      </c>
      <c r="T331" t="s">
        <v>2152</v>
      </c>
      <c r="U331" t="s">
        <v>1358</v>
      </c>
      <c r="V331" t="b">
        <v>1</v>
      </c>
      <c r="W331" t="s">
        <v>1912</v>
      </c>
      <c r="X331" t="b">
        <v>0</v>
      </c>
      <c r="Y331" t="s">
        <v>2022</v>
      </c>
      <c r="Z331" t="s">
        <v>478</v>
      </c>
      <c r="AA331" t="s">
        <v>192</v>
      </c>
      <c r="AB331" t="s">
        <v>192</v>
      </c>
    </row>
    <row r="332" spans="1:28" x14ac:dyDescent="0.3">
      <c r="A332" t="s">
        <v>223</v>
      </c>
      <c r="B332" t="s">
        <v>295</v>
      </c>
      <c r="C332" t="s">
        <v>550</v>
      </c>
      <c r="D332" t="s">
        <v>44</v>
      </c>
      <c r="E332" s="1">
        <v>46055</v>
      </c>
      <c r="F332">
        <v>46</v>
      </c>
      <c r="G332">
        <v>1</v>
      </c>
      <c r="H332">
        <v>57</v>
      </c>
      <c r="I332">
        <v>1</v>
      </c>
      <c r="J332" t="s">
        <v>672</v>
      </c>
      <c r="K332" t="s">
        <v>1959</v>
      </c>
      <c r="L332" t="s">
        <v>2919</v>
      </c>
      <c r="M332" s="3" t="str">
        <f>HYPERLINK("https://ovidsp.ovid.com/ovidweb.cgi?T=JS&amp;NEWS=n&amp;CSC=Y&amp;PAGE=toc&amp;D=yrovft&amp;AN=00006247-000000000-00000","https://ovidsp.ovid.com/ovidweb.cgi?T=JS&amp;NEWS=n&amp;CSC=Y&amp;PAGE=toc&amp;D=yrovft&amp;AN=00006247-000000000-00000")</f>
        <v>https://ovidsp.ovid.com/ovidweb.cgi?T=JS&amp;NEWS=n&amp;CSC=Y&amp;PAGE=toc&amp;D=yrovft&amp;AN=00006247-000000000-00000</v>
      </c>
      <c r="N332" t="s">
        <v>2696</v>
      </c>
      <c r="O332" t="s">
        <v>2151</v>
      </c>
      <c r="P332" t="s">
        <v>2431</v>
      </c>
      <c r="Q332">
        <v>1428052</v>
      </c>
      <c r="R332" t="s">
        <v>330</v>
      </c>
      <c r="S332" t="s">
        <v>84</v>
      </c>
      <c r="T332" t="s">
        <v>2152</v>
      </c>
      <c r="U332" t="s">
        <v>1399</v>
      </c>
      <c r="V332" t="b">
        <v>1</v>
      </c>
      <c r="W332" t="s">
        <v>2539</v>
      </c>
      <c r="X332" t="b">
        <v>0</v>
      </c>
      <c r="Y332" t="s">
        <v>2022</v>
      </c>
      <c r="Z332" t="s">
        <v>478</v>
      </c>
      <c r="AA332" t="s">
        <v>192</v>
      </c>
      <c r="AB332" t="s">
        <v>192</v>
      </c>
    </row>
    <row r="333" spans="1:28" x14ac:dyDescent="0.3">
      <c r="A333" t="s">
        <v>1578</v>
      </c>
      <c r="B333" t="s">
        <v>508</v>
      </c>
      <c r="C333" t="s">
        <v>624</v>
      </c>
      <c r="D333" t="s">
        <v>44</v>
      </c>
      <c r="E333" s="1">
        <v>46055</v>
      </c>
      <c r="F333">
        <v>64</v>
      </c>
      <c r="G333">
        <v>1</v>
      </c>
      <c r="H333">
        <v>75</v>
      </c>
      <c r="I333">
        <v>1</v>
      </c>
      <c r="J333" t="s">
        <v>672</v>
      </c>
      <c r="K333" t="s">
        <v>1959</v>
      </c>
      <c r="L333" t="s">
        <v>2919</v>
      </c>
      <c r="M333" s="3" t="str">
        <f>HYPERLINK("https://ovidsp.ovid.com/ovidweb.cgi?T=JS&amp;NEWS=n&amp;CSC=Y&amp;PAGE=toc&amp;D=yrovft&amp;AN=00006199-000000000-00000","https://ovidsp.ovid.com/ovidweb.cgi?T=JS&amp;NEWS=n&amp;CSC=Y&amp;PAGE=toc&amp;D=yrovft&amp;AN=00006199-000000000-00000")</f>
        <v>https://ovidsp.ovid.com/ovidweb.cgi?T=JS&amp;NEWS=n&amp;CSC=Y&amp;PAGE=toc&amp;D=yrovft&amp;AN=00006199-000000000-00000</v>
      </c>
      <c r="N333" t="s">
        <v>1496</v>
      </c>
      <c r="O333" t="s">
        <v>2151</v>
      </c>
      <c r="P333" t="s">
        <v>2431</v>
      </c>
      <c r="Q333">
        <v>1428052</v>
      </c>
      <c r="R333" t="s">
        <v>2627</v>
      </c>
      <c r="S333" t="s">
        <v>84</v>
      </c>
      <c r="T333" t="s">
        <v>2152</v>
      </c>
      <c r="U333" t="s">
        <v>2883</v>
      </c>
      <c r="V333" t="b">
        <v>1</v>
      </c>
      <c r="W333" t="s">
        <v>3042</v>
      </c>
      <c r="X333" t="b">
        <v>0</v>
      </c>
      <c r="Y333" t="s">
        <v>2022</v>
      </c>
      <c r="Z333" t="s">
        <v>478</v>
      </c>
      <c r="AA333" t="s">
        <v>192</v>
      </c>
      <c r="AB333" t="s">
        <v>192</v>
      </c>
    </row>
    <row r="334" spans="1:28" x14ac:dyDescent="0.3">
      <c r="A334" t="s">
        <v>2163</v>
      </c>
      <c r="B334" t="s">
        <v>2991</v>
      </c>
      <c r="C334" t="s">
        <v>2022</v>
      </c>
      <c r="D334" t="s">
        <v>44</v>
      </c>
      <c r="E334" s="1">
        <v>46055</v>
      </c>
      <c r="F334">
        <v>31</v>
      </c>
      <c r="G334">
        <v>1</v>
      </c>
      <c r="H334">
        <v>33</v>
      </c>
      <c r="I334">
        <v>7</v>
      </c>
      <c r="J334" t="s">
        <v>3061</v>
      </c>
      <c r="K334" t="s">
        <v>2011</v>
      </c>
      <c r="L334" t="s">
        <v>1293</v>
      </c>
      <c r="M334" s="3" t="str">
        <f>HYPERLINK("https://ovidsp.ovid.com/ovidweb.cgi?T=JS&amp;NEWS=n&amp;CSC=Y&amp;PAGE=toc&amp;D=yrovft&amp;AN=00065443-000000000-00000","https://ovidsp.ovid.com/ovidweb.cgi?T=JS&amp;NEWS=n&amp;CSC=Y&amp;PAGE=toc&amp;D=yrovft&amp;AN=00065443-000000000-00000")</f>
        <v>https://ovidsp.ovid.com/ovidweb.cgi?T=JS&amp;NEWS=n&amp;CSC=Y&amp;PAGE=toc&amp;D=yrovft&amp;AN=00065443-000000000-00000</v>
      </c>
      <c r="N334" t="s">
        <v>2022</v>
      </c>
      <c r="O334" t="s">
        <v>2151</v>
      </c>
      <c r="P334" t="s">
        <v>2431</v>
      </c>
      <c r="Q334">
        <v>1428052</v>
      </c>
      <c r="R334" t="s">
        <v>1832</v>
      </c>
      <c r="S334" t="s">
        <v>84</v>
      </c>
      <c r="T334" t="s">
        <v>2152</v>
      </c>
      <c r="U334" t="s">
        <v>86</v>
      </c>
      <c r="V334" t="b">
        <v>0</v>
      </c>
      <c r="W334" t="s">
        <v>2022</v>
      </c>
      <c r="X334" t="b">
        <v>0</v>
      </c>
      <c r="Y334" t="s">
        <v>2022</v>
      </c>
      <c r="Z334" t="s">
        <v>2196</v>
      </c>
      <c r="AA334" t="s">
        <v>192</v>
      </c>
      <c r="AB334" t="s">
        <v>192</v>
      </c>
    </row>
    <row r="335" spans="1:28" x14ac:dyDescent="0.3">
      <c r="A335" t="s">
        <v>36</v>
      </c>
      <c r="B335" t="s">
        <v>2629</v>
      </c>
      <c r="C335" t="s">
        <v>1055</v>
      </c>
      <c r="D335" t="s">
        <v>44</v>
      </c>
      <c r="E335" s="1">
        <v>46055</v>
      </c>
      <c r="F335">
        <v>50</v>
      </c>
      <c r="G335">
        <v>1</v>
      </c>
      <c r="H335">
        <v>61</v>
      </c>
      <c r="I335">
        <v>1</v>
      </c>
      <c r="J335" t="s">
        <v>672</v>
      </c>
      <c r="K335" t="s">
        <v>1959</v>
      </c>
      <c r="L335" t="s">
        <v>2919</v>
      </c>
      <c r="M335" s="3" t="str">
        <f>HYPERLINK("https://ovidsp.ovid.com/ovidweb.cgi?T=JS&amp;NEWS=n&amp;CSC=Y&amp;PAGE=toc&amp;D=yrovft&amp;AN=00017285-000000000-00000","https://ovidsp.ovid.com/ovidweb.cgi?T=JS&amp;NEWS=n&amp;CSC=Y&amp;PAGE=toc&amp;D=yrovft&amp;AN=00017285-000000000-00000")</f>
        <v>https://ovidsp.ovid.com/ovidweb.cgi?T=JS&amp;NEWS=n&amp;CSC=Y&amp;PAGE=toc&amp;D=yrovft&amp;AN=00017285-000000000-00000</v>
      </c>
      <c r="N335" t="s">
        <v>1547</v>
      </c>
      <c r="O335" t="s">
        <v>2151</v>
      </c>
      <c r="P335" t="s">
        <v>2431</v>
      </c>
      <c r="Q335">
        <v>1428052</v>
      </c>
      <c r="R335" t="s">
        <v>248</v>
      </c>
      <c r="S335" t="s">
        <v>84</v>
      </c>
      <c r="T335" t="s">
        <v>2152</v>
      </c>
      <c r="U335" t="s">
        <v>390</v>
      </c>
      <c r="V335" t="b">
        <v>1</v>
      </c>
      <c r="W335" t="s">
        <v>1819</v>
      </c>
      <c r="X335" t="b">
        <v>0</v>
      </c>
      <c r="Y335" t="s">
        <v>2022</v>
      </c>
      <c r="Z335" t="s">
        <v>2944</v>
      </c>
      <c r="AA335" t="s">
        <v>192</v>
      </c>
      <c r="AB335" t="s">
        <v>192</v>
      </c>
    </row>
    <row r="336" spans="1:28" x14ac:dyDescent="0.3">
      <c r="A336" t="s">
        <v>514</v>
      </c>
      <c r="B336" t="s">
        <v>2022</v>
      </c>
      <c r="C336" t="s">
        <v>1101</v>
      </c>
      <c r="D336" t="s">
        <v>44</v>
      </c>
      <c r="E336" s="1">
        <v>46055</v>
      </c>
      <c r="F336">
        <v>1</v>
      </c>
      <c r="G336">
        <v>1</v>
      </c>
      <c r="H336">
        <v>3</v>
      </c>
      <c r="I336">
        <v>1</v>
      </c>
      <c r="J336" t="s">
        <v>1288</v>
      </c>
      <c r="K336" t="s">
        <v>1743</v>
      </c>
      <c r="L336" t="s">
        <v>2012</v>
      </c>
      <c r="M336" s="3" t="str">
        <f>HYPERLINK("https://ovidsp.ovid.com/ovidweb.cgi?T=JS&amp;NEWS=n&amp;CSC=Y&amp;PAGE=toc&amp;D=yrovft&amp;AN=02275165-000000000-00000","https://ovidsp.ovid.com/ovidweb.cgi?T=JS&amp;NEWS=n&amp;CSC=Y&amp;PAGE=toc&amp;D=yrovft&amp;AN=02275165-000000000-00000")</f>
        <v>https://ovidsp.ovid.com/ovidweb.cgi?T=JS&amp;NEWS=n&amp;CSC=Y&amp;PAGE=toc&amp;D=yrovft&amp;AN=02275165-000000000-00000</v>
      </c>
      <c r="N336" t="s">
        <v>922</v>
      </c>
      <c r="O336" t="s">
        <v>2151</v>
      </c>
      <c r="P336" t="s">
        <v>2431</v>
      </c>
      <c r="Q336">
        <v>1428052</v>
      </c>
      <c r="R336" t="s">
        <v>3053</v>
      </c>
      <c r="S336" t="s">
        <v>84</v>
      </c>
      <c r="T336" t="s">
        <v>2152</v>
      </c>
      <c r="U336" t="s">
        <v>1566</v>
      </c>
      <c r="V336" t="b">
        <v>0</v>
      </c>
      <c r="W336" t="s">
        <v>2022</v>
      </c>
      <c r="X336" t="b">
        <v>0</v>
      </c>
      <c r="Y336" t="s">
        <v>2022</v>
      </c>
      <c r="Z336" t="s">
        <v>2440</v>
      </c>
      <c r="AA336" t="s">
        <v>192</v>
      </c>
      <c r="AB336" t="s">
        <v>192</v>
      </c>
    </row>
    <row r="337" spans="1:28" x14ac:dyDescent="0.3">
      <c r="A337" t="s">
        <v>3</v>
      </c>
      <c r="B337" t="s">
        <v>3067</v>
      </c>
      <c r="C337" t="s">
        <v>2236</v>
      </c>
      <c r="D337" t="s">
        <v>44</v>
      </c>
      <c r="E337" s="1">
        <v>46055</v>
      </c>
      <c r="F337">
        <v>35</v>
      </c>
      <c r="G337">
        <v>1</v>
      </c>
      <c r="H337">
        <v>45</v>
      </c>
      <c r="I337">
        <v>4</v>
      </c>
      <c r="J337" t="s">
        <v>1947</v>
      </c>
      <c r="K337" t="s">
        <v>2249</v>
      </c>
      <c r="L337" t="s">
        <v>2771</v>
      </c>
      <c r="M337" s="3" t="str">
        <f>HYPERLINK("https://ovidsp.ovid.com/ovidweb.cgi?T=JS&amp;NEWS=n&amp;CSC=Y&amp;PAGE=toc&amp;D=yrovft&amp;AN=00132582-000000000-00000","https://ovidsp.ovid.com/ovidweb.cgi?T=JS&amp;NEWS=n&amp;CSC=Y&amp;PAGE=toc&amp;D=yrovft&amp;AN=00132582-000000000-00000")</f>
        <v>https://ovidsp.ovid.com/ovidweb.cgi?T=JS&amp;NEWS=n&amp;CSC=Y&amp;PAGE=toc&amp;D=yrovft&amp;AN=00132582-000000000-00000</v>
      </c>
      <c r="N337" t="s">
        <v>2231</v>
      </c>
      <c r="O337" t="s">
        <v>2151</v>
      </c>
      <c r="P337" t="s">
        <v>2431</v>
      </c>
      <c r="Q337">
        <v>1428052</v>
      </c>
      <c r="R337" t="s">
        <v>1474</v>
      </c>
      <c r="S337" t="s">
        <v>84</v>
      </c>
      <c r="T337" t="s">
        <v>2152</v>
      </c>
      <c r="U337" t="s">
        <v>2174</v>
      </c>
      <c r="V337" t="b">
        <v>0</v>
      </c>
      <c r="W337" t="s">
        <v>2022</v>
      </c>
      <c r="X337" t="b">
        <v>0</v>
      </c>
      <c r="Y337" t="s">
        <v>2022</v>
      </c>
      <c r="Z337" t="s">
        <v>2944</v>
      </c>
      <c r="AA337" t="s">
        <v>192</v>
      </c>
      <c r="AB337" t="s">
        <v>192</v>
      </c>
    </row>
    <row r="338" spans="1:28" x14ac:dyDescent="0.3">
      <c r="A338" t="s">
        <v>2987</v>
      </c>
      <c r="B338" t="s">
        <v>1685</v>
      </c>
      <c r="C338" t="s">
        <v>1485</v>
      </c>
      <c r="D338" t="s">
        <v>44</v>
      </c>
      <c r="E338" s="1">
        <v>46055</v>
      </c>
      <c r="F338">
        <v>70</v>
      </c>
      <c r="G338">
        <v>1</v>
      </c>
      <c r="H338">
        <v>81</v>
      </c>
      <c r="I338">
        <v>1</v>
      </c>
      <c r="J338" t="s">
        <v>672</v>
      </c>
      <c r="K338" t="s">
        <v>1959</v>
      </c>
      <c r="L338" t="s">
        <v>2919</v>
      </c>
      <c r="M338" s="3" t="str">
        <f>HYPERLINK("https://ovidsp.ovid.com/ovidweb.cgi?T=JS&amp;NEWS=n&amp;CSC=Y&amp;PAGE=toc&amp;D=yrovft&amp;AN=00006254-000000000-00000","https://ovidsp.ovid.com/ovidweb.cgi?T=JS&amp;NEWS=n&amp;CSC=Y&amp;PAGE=toc&amp;D=yrovft&amp;AN=00006254-000000000-00000")</f>
        <v>https://ovidsp.ovid.com/ovidweb.cgi?T=JS&amp;NEWS=n&amp;CSC=Y&amp;PAGE=toc&amp;D=yrovft&amp;AN=00006254-000000000-00000</v>
      </c>
      <c r="N338" t="s">
        <v>335</v>
      </c>
      <c r="O338" t="s">
        <v>2151</v>
      </c>
      <c r="P338" t="s">
        <v>2431</v>
      </c>
      <c r="Q338">
        <v>1428052</v>
      </c>
      <c r="R338" t="s">
        <v>1136</v>
      </c>
      <c r="S338" t="s">
        <v>84</v>
      </c>
      <c r="T338" t="s">
        <v>2152</v>
      </c>
      <c r="U338" t="s">
        <v>186</v>
      </c>
      <c r="V338" t="b">
        <v>0</v>
      </c>
      <c r="W338" t="s">
        <v>2022</v>
      </c>
      <c r="X338" t="b">
        <v>0</v>
      </c>
      <c r="Y338" t="s">
        <v>2022</v>
      </c>
      <c r="Z338" t="s">
        <v>1351</v>
      </c>
      <c r="AA338" t="s">
        <v>192</v>
      </c>
      <c r="AB338" t="s">
        <v>192</v>
      </c>
    </row>
    <row r="339" spans="1:28" x14ac:dyDescent="0.3">
      <c r="A339" t="s">
        <v>1085</v>
      </c>
      <c r="B339" t="s">
        <v>556</v>
      </c>
      <c r="C339" t="s">
        <v>2972</v>
      </c>
      <c r="D339" t="s">
        <v>44</v>
      </c>
      <c r="E339" s="1">
        <v>46055</v>
      </c>
      <c r="F339">
        <v>125</v>
      </c>
      <c r="G339">
        <v>1</v>
      </c>
      <c r="H339">
        <v>147</v>
      </c>
      <c r="I339">
        <v>2</v>
      </c>
      <c r="J339" t="s">
        <v>2585</v>
      </c>
      <c r="K339" t="s">
        <v>1959</v>
      </c>
      <c r="L339" t="s">
        <v>712</v>
      </c>
      <c r="M339" s="3" t="str">
        <f>HYPERLINK("https://ovidsp.ovid.com/ovidweb.cgi?T=JS&amp;NEWS=n&amp;CSC=Y&amp;PAGE=toc&amp;D=yrovft&amp;AN=00006250-000000000-00000","https://ovidsp.ovid.com/ovidweb.cgi?T=JS&amp;NEWS=n&amp;CSC=Y&amp;PAGE=toc&amp;D=yrovft&amp;AN=00006250-000000000-00000")</f>
        <v>https://ovidsp.ovid.com/ovidweb.cgi?T=JS&amp;NEWS=n&amp;CSC=Y&amp;PAGE=toc&amp;D=yrovft&amp;AN=00006250-000000000-00000</v>
      </c>
      <c r="N339" t="s">
        <v>132</v>
      </c>
      <c r="O339" t="s">
        <v>2151</v>
      </c>
      <c r="P339" t="s">
        <v>2431</v>
      </c>
      <c r="Q339">
        <v>1428052</v>
      </c>
      <c r="R339" t="s">
        <v>30</v>
      </c>
      <c r="S339" t="s">
        <v>84</v>
      </c>
      <c r="T339" t="s">
        <v>2152</v>
      </c>
      <c r="U339" t="s">
        <v>307</v>
      </c>
      <c r="V339" t="b">
        <v>1</v>
      </c>
      <c r="W339" t="s">
        <v>447</v>
      </c>
      <c r="X339" t="b">
        <v>0</v>
      </c>
      <c r="Y339" t="s">
        <v>2022</v>
      </c>
      <c r="Z339" t="s">
        <v>1351</v>
      </c>
      <c r="AA339" t="s">
        <v>192</v>
      </c>
      <c r="AB339" t="s">
        <v>192</v>
      </c>
    </row>
    <row r="340" spans="1:28" x14ac:dyDescent="0.3">
      <c r="A340" t="s">
        <v>2053</v>
      </c>
      <c r="B340" t="s">
        <v>1816</v>
      </c>
      <c r="C340" t="s">
        <v>1902</v>
      </c>
      <c r="D340" t="s">
        <v>44</v>
      </c>
      <c r="E340" s="1">
        <v>46055</v>
      </c>
      <c r="F340">
        <v>1</v>
      </c>
      <c r="G340">
        <v>1</v>
      </c>
      <c r="H340">
        <v>11</v>
      </c>
      <c r="I340">
        <v>6</v>
      </c>
      <c r="J340" t="s">
        <v>1458</v>
      </c>
      <c r="K340" t="s">
        <v>1525</v>
      </c>
      <c r="L340" t="s">
        <v>2771</v>
      </c>
      <c r="M340" s="3" t="str">
        <f>HYPERLINK("https://ovidsp.ovid.com/ovidweb.cgi?T=JS&amp;NEWS=n&amp;CSC=Y&amp;PAGE=toc&amp;D=yrovft&amp;AN=01873671-000000000-00000","https://ovidsp.ovid.com/ovidweb.cgi?T=JS&amp;NEWS=n&amp;CSC=Y&amp;PAGE=toc&amp;D=yrovft&amp;AN=01873671-000000000-00000")</f>
        <v>https://ovidsp.ovid.com/ovidweb.cgi?T=JS&amp;NEWS=n&amp;CSC=Y&amp;PAGE=toc&amp;D=yrovft&amp;AN=01873671-000000000-00000</v>
      </c>
      <c r="N340" t="s">
        <v>1460</v>
      </c>
      <c r="O340" t="s">
        <v>2151</v>
      </c>
      <c r="P340" t="s">
        <v>2431</v>
      </c>
      <c r="Q340">
        <v>1428052</v>
      </c>
      <c r="R340" t="s">
        <v>297</v>
      </c>
      <c r="S340" t="s">
        <v>84</v>
      </c>
      <c r="T340" t="s">
        <v>2152</v>
      </c>
      <c r="U340" t="s">
        <v>47</v>
      </c>
      <c r="V340" t="b">
        <v>1</v>
      </c>
      <c r="W340" t="s">
        <v>89</v>
      </c>
      <c r="X340" t="b">
        <v>0</v>
      </c>
      <c r="Y340" t="s">
        <v>2022</v>
      </c>
      <c r="Z340" t="s">
        <v>2022</v>
      </c>
      <c r="AA340" t="s">
        <v>192</v>
      </c>
      <c r="AB340" t="s">
        <v>192</v>
      </c>
    </row>
    <row r="341" spans="1:28" x14ac:dyDescent="0.3">
      <c r="A341" t="s">
        <v>1475</v>
      </c>
      <c r="B341" t="s">
        <v>537</v>
      </c>
      <c r="C341" t="s">
        <v>646</v>
      </c>
      <c r="D341" t="s">
        <v>44</v>
      </c>
      <c r="E341" s="1">
        <v>46055</v>
      </c>
      <c r="F341">
        <v>23</v>
      </c>
      <c r="G341">
        <v>1</v>
      </c>
      <c r="H341">
        <v>48</v>
      </c>
      <c r="I341">
        <v>1</v>
      </c>
      <c r="J341" t="s">
        <v>3119</v>
      </c>
      <c r="K341" t="s">
        <v>2380</v>
      </c>
      <c r="L341" t="s">
        <v>2919</v>
      </c>
      <c r="M341" s="3" t="str">
        <f>HYPERLINK("https://ovidsp.ovid.com/ovidweb.cgi?T=JS&amp;NEWS=n&amp;CSC=Y&amp;PAGE=toc&amp;D=yrovft&amp;AN=00130989-000000000-00000","https://ovidsp.ovid.com/ovidweb.cgi?T=JS&amp;NEWS=n&amp;CSC=Y&amp;PAGE=toc&amp;D=yrovft&amp;AN=00130989-000000000-00000")</f>
        <v>https://ovidsp.ovid.com/ovidweb.cgi?T=JS&amp;NEWS=n&amp;CSC=Y&amp;PAGE=toc&amp;D=yrovft&amp;AN=00130989-000000000-00000</v>
      </c>
      <c r="N341" t="s">
        <v>1818</v>
      </c>
      <c r="O341" t="s">
        <v>2151</v>
      </c>
      <c r="P341" t="s">
        <v>2431</v>
      </c>
      <c r="Q341">
        <v>1428052</v>
      </c>
      <c r="R341" t="s">
        <v>2832</v>
      </c>
      <c r="S341" t="s">
        <v>84</v>
      </c>
      <c r="T341" t="s">
        <v>2152</v>
      </c>
      <c r="U341" t="s">
        <v>2694</v>
      </c>
      <c r="V341" t="b">
        <v>0</v>
      </c>
      <c r="W341" t="s">
        <v>2022</v>
      </c>
      <c r="X341" t="b">
        <v>0</v>
      </c>
      <c r="Y341" t="s">
        <v>2022</v>
      </c>
      <c r="Z341" t="s">
        <v>2944</v>
      </c>
      <c r="AA341" t="s">
        <v>192</v>
      </c>
      <c r="AB341" t="s">
        <v>192</v>
      </c>
    </row>
    <row r="342" spans="1:28" x14ac:dyDescent="0.3">
      <c r="A342" t="s">
        <v>2903</v>
      </c>
      <c r="B342" t="s">
        <v>2211</v>
      </c>
      <c r="C342" t="s">
        <v>789</v>
      </c>
      <c r="D342" t="s">
        <v>44</v>
      </c>
      <c r="E342" s="1">
        <v>46055</v>
      </c>
      <c r="F342">
        <v>1</v>
      </c>
      <c r="G342">
        <v>2</v>
      </c>
      <c r="H342">
        <v>9</v>
      </c>
      <c r="I342">
        <v>12</v>
      </c>
      <c r="J342" t="s">
        <v>895</v>
      </c>
      <c r="K342" t="s">
        <v>1698</v>
      </c>
      <c r="L342" t="s">
        <v>2722</v>
      </c>
      <c r="M342" s="3" t="str">
        <f>HYPERLINK("https://ovidsp.ovid.com/ovidweb.cgi?T=JS&amp;NEWS=n&amp;CSC=Y&amp;PAGE=toc&amp;D=yrovft&amp;AN=01434893-000000000-00000","https://ovidsp.ovid.com/ovidweb.cgi?T=JS&amp;NEWS=n&amp;CSC=Y&amp;PAGE=toc&amp;D=yrovft&amp;AN=01434893-000000000-00000")</f>
        <v>https://ovidsp.ovid.com/ovidweb.cgi?T=JS&amp;NEWS=n&amp;CSC=Y&amp;PAGE=toc&amp;D=yrovft&amp;AN=01434893-000000000-00000</v>
      </c>
      <c r="N342" t="s">
        <v>2022</v>
      </c>
      <c r="O342" t="s">
        <v>2151</v>
      </c>
      <c r="P342" t="s">
        <v>2431</v>
      </c>
      <c r="Q342">
        <v>1428052</v>
      </c>
      <c r="R342" t="s">
        <v>1317</v>
      </c>
      <c r="S342" t="s">
        <v>84</v>
      </c>
      <c r="T342" t="s">
        <v>2152</v>
      </c>
      <c r="U342" t="s">
        <v>1653</v>
      </c>
      <c r="V342" t="b">
        <v>0</v>
      </c>
      <c r="W342" t="s">
        <v>2022</v>
      </c>
      <c r="X342" t="b">
        <v>0</v>
      </c>
      <c r="Y342" t="s">
        <v>2022</v>
      </c>
      <c r="Z342" t="s">
        <v>1351</v>
      </c>
      <c r="AA342" t="s">
        <v>192</v>
      </c>
      <c r="AB342" t="s">
        <v>192</v>
      </c>
    </row>
    <row r="343" spans="1:28" x14ac:dyDescent="0.3">
      <c r="A343" t="s">
        <v>1977</v>
      </c>
      <c r="B343" t="s">
        <v>801</v>
      </c>
      <c r="C343" t="s">
        <v>2677</v>
      </c>
      <c r="D343" t="s">
        <v>44</v>
      </c>
      <c r="E343" s="1">
        <v>46055</v>
      </c>
      <c r="F343">
        <v>11</v>
      </c>
      <c r="G343">
        <v>1</v>
      </c>
      <c r="H343">
        <v>30</v>
      </c>
      <c r="I343">
        <v>2</v>
      </c>
      <c r="J343" t="s">
        <v>2672</v>
      </c>
      <c r="K343" t="s">
        <v>2249</v>
      </c>
      <c r="L343" t="s">
        <v>712</v>
      </c>
      <c r="M343" s="3" t="str">
        <f>HYPERLINK("https://ovidsp.ovid.com/ovidweb.cgi?T=JS&amp;NEWS=n&amp;CSC=Y&amp;PAGE=toc&amp;D=yrovft&amp;AN=01787389-000000000-00000","https://ovidsp.ovid.com/ovidweb.cgi?T=JS&amp;NEWS=n&amp;CSC=Y&amp;PAGE=toc&amp;D=yrovft&amp;AN=01787389-000000000-00000")</f>
        <v>https://ovidsp.ovid.com/ovidweb.cgi?T=JS&amp;NEWS=n&amp;CSC=Y&amp;PAGE=toc&amp;D=yrovft&amp;AN=01787389-000000000-00000</v>
      </c>
      <c r="N343" t="s">
        <v>2867</v>
      </c>
      <c r="O343" t="s">
        <v>2151</v>
      </c>
      <c r="P343" t="s">
        <v>2431</v>
      </c>
      <c r="Q343">
        <v>1428052</v>
      </c>
      <c r="R343" t="s">
        <v>2974</v>
      </c>
      <c r="S343" t="s">
        <v>84</v>
      </c>
      <c r="T343" t="s">
        <v>2152</v>
      </c>
      <c r="U343" t="s">
        <v>938</v>
      </c>
      <c r="V343" t="b">
        <v>1</v>
      </c>
      <c r="W343" t="s">
        <v>1534</v>
      </c>
      <c r="X343" t="b">
        <v>0</v>
      </c>
      <c r="Y343" t="s">
        <v>2022</v>
      </c>
      <c r="Z343" t="s">
        <v>1699</v>
      </c>
      <c r="AA343" t="s">
        <v>192</v>
      </c>
      <c r="AB343" t="s">
        <v>192</v>
      </c>
    </row>
    <row r="344" spans="1:28" x14ac:dyDescent="0.3">
      <c r="A344" t="s">
        <v>1686</v>
      </c>
      <c r="B344" t="s">
        <v>495</v>
      </c>
      <c r="C344" t="s">
        <v>1820</v>
      </c>
      <c r="D344" t="s">
        <v>44</v>
      </c>
      <c r="E344" s="1">
        <v>46055</v>
      </c>
      <c r="F344">
        <v>31</v>
      </c>
      <c r="G344">
        <v>1</v>
      </c>
      <c r="H344">
        <v>42</v>
      </c>
      <c r="I344">
        <v>1</v>
      </c>
      <c r="J344" t="s">
        <v>672</v>
      </c>
      <c r="K344" t="s">
        <v>1959</v>
      </c>
      <c r="L344" t="s">
        <v>2919</v>
      </c>
      <c r="M344" s="3" t="str">
        <f>HYPERLINK("https://ovidsp.ovid.com/ovidweb.cgi?T=JS&amp;NEWS=n&amp;CSC=Y&amp;PAGE=toc&amp;D=yrovft&amp;AN=00002341-000000000-00000","https://ovidsp.ovid.com/ovidweb.cgi?T=JS&amp;NEWS=n&amp;CSC=Y&amp;PAGE=toc&amp;D=yrovft&amp;AN=00002341-000000000-00000")</f>
        <v>https://ovidsp.ovid.com/ovidweb.cgi?T=JS&amp;NEWS=n&amp;CSC=Y&amp;PAGE=toc&amp;D=yrovft&amp;AN=00002341-000000000-00000</v>
      </c>
      <c r="N344" t="s">
        <v>928</v>
      </c>
      <c r="O344" t="s">
        <v>2151</v>
      </c>
      <c r="P344" t="s">
        <v>2431</v>
      </c>
      <c r="Q344">
        <v>1428052</v>
      </c>
      <c r="R344" t="s">
        <v>665</v>
      </c>
      <c r="S344" t="s">
        <v>84</v>
      </c>
      <c r="T344" t="s">
        <v>2152</v>
      </c>
      <c r="U344" t="s">
        <v>2500</v>
      </c>
      <c r="V344" t="b">
        <v>1</v>
      </c>
      <c r="W344" t="s">
        <v>3031</v>
      </c>
      <c r="X344" t="b">
        <v>0</v>
      </c>
      <c r="Y344" t="s">
        <v>2022</v>
      </c>
      <c r="Z344" t="s">
        <v>831</v>
      </c>
      <c r="AA344" t="s">
        <v>192</v>
      </c>
      <c r="AB344" t="s">
        <v>192</v>
      </c>
    </row>
    <row r="345" spans="1:28" x14ac:dyDescent="0.3">
      <c r="A345" t="s">
        <v>2849</v>
      </c>
      <c r="B345" t="s">
        <v>1449</v>
      </c>
      <c r="C345" t="s">
        <v>1209</v>
      </c>
      <c r="D345" t="s">
        <v>44</v>
      </c>
      <c r="E345" s="1">
        <v>46055</v>
      </c>
      <c r="F345">
        <v>1</v>
      </c>
      <c r="G345">
        <v>1</v>
      </c>
      <c r="H345">
        <v>9</v>
      </c>
      <c r="I345">
        <v>6</v>
      </c>
      <c r="J345" t="s">
        <v>2060</v>
      </c>
      <c r="K345" t="s">
        <v>563</v>
      </c>
      <c r="L345" t="s">
        <v>1018</v>
      </c>
      <c r="M345" s="3" t="str">
        <f>HYPERLINK("https://ovidsp.ovid.com/ovidweb.cgi?T=JS&amp;NEWS=n&amp;CSC=Y&amp;PAGE=toc&amp;D=yrovft&amp;AN=01271211-000000000-00000","https://ovidsp.ovid.com/ovidweb.cgi?T=JS&amp;NEWS=n&amp;CSC=Y&amp;PAGE=toc&amp;D=yrovft&amp;AN=01271211-000000000-00000")</f>
        <v>https://ovidsp.ovid.com/ovidweb.cgi?T=JS&amp;NEWS=n&amp;CSC=Y&amp;PAGE=toc&amp;D=yrovft&amp;AN=01271211-000000000-00000</v>
      </c>
      <c r="N345" t="s">
        <v>2022</v>
      </c>
      <c r="O345" t="s">
        <v>2151</v>
      </c>
      <c r="P345" t="s">
        <v>2431</v>
      </c>
      <c r="Q345">
        <v>1428052</v>
      </c>
      <c r="R345" t="s">
        <v>2568</v>
      </c>
      <c r="S345" t="s">
        <v>84</v>
      </c>
      <c r="T345" t="s">
        <v>2152</v>
      </c>
      <c r="U345" t="s">
        <v>2622</v>
      </c>
      <c r="V345" t="b">
        <v>0</v>
      </c>
      <c r="W345" t="s">
        <v>2022</v>
      </c>
      <c r="X345" t="b">
        <v>0</v>
      </c>
      <c r="Y345" t="s">
        <v>2022</v>
      </c>
      <c r="Z345" t="s">
        <v>2944</v>
      </c>
      <c r="AA345" t="s">
        <v>192</v>
      </c>
      <c r="AB345" t="s">
        <v>192</v>
      </c>
    </row>
    <row r="346" spans="1:28" x14ac:dyDescent="0.3">
      <c r="A346" t="s">
        <v>769</v>
      </c>
      <c r="B346" t="s">
        <v>2738</v>
      </c>
      <c r="C346" t="s">
        <v>1870</v>
      </c>
      <c r="D346" t="s">
        <v>44</v>
      </c>
      <c r="E346" s="1">
        <v>46055</v>
      </c>
      <c r="F346">
        <v>34</v>
      </c>
      <c r="G346">
        <v>1</v>
      </c>
      <c r="H346">
        <v>45</v>
      </c>
      <c r="I346">
        <v>1</v>
      </c>
      <c r="J346" t="s">
        <v>672</v>
      </c>
      <c r="K346" t="s">
        <v>1959</v>
      </c>
      <c r="L346" t="s">
        <v>2919</v>
      </c>
      <c r="M346" s="3" t="str">
        <f>HYPERLINK("https://ovidsp.ovid.com/ovidweb.cgi?T=JS&amp;NEWS=n&amp;CSC=Y&amp;PAGE=toc&amp;D=yrovft&amp;AN=00006416-000000000-00000","https://ovidsp.ovid.com/ovidweb.cgi?T=JS&amp;NEWS=n&amp;CSC=Y&amp;PAGE=toc&amp;D=yrovft&amp;AN=00006416-000000000-00000")</f>
        <v>https://ovidsp.ovid.com/ovidweb.cgi?T=JS&amp;NEWS=n&amp;CSC=Y&amp;PAGE=toc&amp;D=yrovft&amp;AN=00006416-000000000-00000</v>
      </c>
      <c r="N346" t="s">
        <v>1489</v>
      </c>
      <c r="O346" t="s">
        <v>2151</v>
      </c>
      <c r="P346" t="s">
        <v>2431</v>
      </c>
      <c r="Q346">
        <v>1428052</v>
      </c>
      <c r="R346" t="s">
        <v>2051</v>
      </c>
      <c r="S346" t="s">
        <v>84</v>
      </c>
      <c r="T346" t="s">
        <v>2152</v>
      </c>
      <c r="U346" t="s">
        <v>2407</v>
      </c>
      <c r="V346" t="b">
        <v>0</v>
      </c>
      <c r="W346" t="s">
        <v>2022</v>
      </c>
      <c r="X346" t="b">
        <v>0</v>
      </c>
      <c r="Y346" t="s">
        <v>2022</v>
      </c>
      <c r="Z346" t="s">
        <v>2944</v>
      </c>
      <c r="AA346" t="s">
        <v>192</v>
      </c>
      <c r="AB346" t="s">
        <v>192</v>
      </c>
    </row>
    <row r="347" spans="1:28" x14ac:dyDescent="0.3">
      <c r="A347" t="s">
        <v>2307</v>
      </c>
      <c r="B347" t="s">
        <v>2022</v>
      </c>
      <c r="C347" t="s">
        <v>2252</v>
      </c>
      <c r="D347" t="s">
        <v>44</v>
      </c>
      <c r="E347" s="1">
        <v>46055</v>
      </c>
      <c r="F347" t="s">
        <v>406</v>
      </c>
      <c r="G347" t="s">
        <v>2938</v>
      </c>
      <c r="H347">
        <v>19</v>
      </c>
      <c r="I347">
        <v>4</v>
      </c>
      <c r="J347" t="s">
        <v>756</v>
      </c>
      <c r="K347" t="s">
        <v>1695</v>
      </c>
      <c r="L347" t="s">
        <v>2771</v>
      </c>
      <c r="M347" s="3" t="str">
        <f>HYPERLINK("https://ovidsp.ovid.com/ovidweb.cgi?T=JS&amp;NEWS=n&amp;CSC=Y&amp;PAGE=toc&amp;D=yrovft&amp;AN=02275665-000000000-00000","https://ovidsp.ovid.com/ovidweb.cgi?T=JS&amp;NEWS=n&amp;CSC=Y&amp;PAGE=toc&amp;D=yrovft&amp;AN=02275665-000000000-00000")</f>
        <v>https://ovidsp.ovid.com/ovidweb.cgi?T=JS&amp;NEWS=n&amp;CSC=Y&amp;PAGE=toc&amp;D=yrovft&amp;AN=02275665-000000000-00000</v>
      </c>
      <c r="N347" t="s">
        <v>2022</v>
      </c>
      <c r="O347" t="s">
        <v>2151</v>
      </c>
      <c r="P347" t="s">
        <v>2431</v>
      </c>
      <c r="Q347">
        <v>1428052</v>
      </c>
      <c r="R347" t="s">
        <v>765</v>
      </c>
      <c r="S347" t="s">
        <v>84</v>
      </c>
      <c r="T347" t="s">
        <v>2152</v>
      </c>
      <c r="U347" t="s">
        <v>2737</v>
      </c>
      <c r="V347" t="b">
        <v>1</v>
      </c>
      <c r="W347" t="s">
        <v>988</v>
      </c>
      <c r="X347" t="b">
        <v>0</v>
      </c>
      <c r="Y347" t="s">
        <v>2022</v>
      </c>
      <c r="Z347" t="s">
        <v>2022</v>
      </c>
      <c r="AA347" t="s">
        <v>192</v>
      </c>
      <c r="AB347" t="s">
        <v>192</v>
      </c>
    </row>
    <row r="348" spans="1:28" x14ac:dyDescent="0.3">
      <c r="A348" t="s">
        <v>1840</v>
      </c>
      <c r="B348" t="s">
        <v>2022</v>
      </c>
      <c r="C348" t="s">
        <v>461</v>
      </c>
      <c r="D348" t="s">
        <v>44</v>
      </c>
      <c r="E348" s="1">
        <v>46055</v>
      </c>
      <c r="F348">
        <v>1</v>
      </c>
      <c r="G348">
        <v>1</v>
      </c>
      <c r="H348">
        <v>9</v>
      </c>
      <c r="I348">
        <v>1</v>
      </c>
      <c r="J348" t="s">
        <v>1168</v>
      </c>
      <c r="K348" t="s">
        <v>2296</v>
      </c>
      <c r="L348" t="s">
        <v>2441</v>
      </c>
      <c r="M348" s="3" t="str">
        <f>HYPERLINK("https://ovidsp.ovid.com/ovidweb.cgi?T=JS&amp;NEWS=n&amp;CSC=Y&amp;PAGE=toc&amp;D=yrovft&amp;AN=02039743-000000000-00000","https://ovidsp.ovid.com/ovidweb.cgi?T=JS&amp;NEWS=n&amp;CSC=Y&amp;PAGE=toc&amp;D=yrovft&amp;AN=02039743-000000000-00000")</f>
        <v>https://ovidsp.ovid.com/ovidweb.cgi?T=JS&amp;NEWS=n&amp;CSC=Y&amp;PAGE=toc&amp;D=yrovft&amp;AN=02039743-000000000-00000</v>
      </c>
      <c r="N348" t="s">
        <v>74</v>
      </c>
      <c r="O348" t="s">
        <v>2151</v>
      </c>
      <c r="P348" t="s">
        <v>2431</v>
      </c>
      <c r="Q348">
        <v>1428052</v>
      </c>
      <c r="R348" t="s">
        <v>1715</v>
      </c>
      <c r="S348" t="s">
        <v>84</v>
      </c>
      <c r="T348" t="s">
        <v>2152</v>
      </c>
      <c r="U348" t="s">
        <v>2136</v>
      </c>
      <c r="V348" t="b">
        <v>0</v>
      </c>
      <c r="W348" t="s">
        <v>2022</v>
      </c>
      <c r="X348" t="b">
        <v>0</v>
      </c>
      <c r="Y348" t="s">
        <v>2022</v>
      </c>
      <c r="Z348" t="s">
        <v>2196</v>
      </c>
      <c r="AA348" t="s">
        <v>192</v>
      </c>
      <c r="AB348" t="s">
        <v>192</v>
      </c>
    </row>
    <row r="349" spans="1:28" x14ac:dyDescent="0.3">
      <c r="A349" t="s">
        <v>379</v>
      </c>
      <c r="B349" t="s">
        <v>2675</v>
      </c>
      <c r="C349" t="s">
        <v>647</v>
      </c>
      <c r="D349" t="s">
        <v>44</v>
      </c>
      <c r="E349" s="1">
        <v>46055</v>
      </c>
      <c r="F349">
        <v>36</v>
      </c>
      <c r="G349">
        <v>1</v>
      </c>
      <c r="H349">
        <v>47</v>
      </c>
      <c r="I349">
        <v>2</v>
      </c>
      <c r="J349" t="s">
        <v>2585</v>
      </c>
      <c r="K349" t="s">
        <v>1959</v>
      </c>
      <c r="L349" t="s">
        <v>712</v>
      </c>
      <c r="M349" s="3" t="str">
        <f>HYPERLINK("https://ovidsp.ovid.com/ovidweb.cgi?T=JS&amp;NEWS=n&amp;CSC=Y&amp;PAGE=toc&amp;D=yrovft&amp;AN=00129492-000000000-00000","https://ovidsp.ovid.com/ovidweb.cgi?T=JS&amp;NEWS=n&amp;CSC=Y&amp;PAGE=toc&amp;D=yrovft&amp;AN=00129492-000000000-00000")</f>
        <v>https://ovidsp.ovid.com/ovidweb.cgi?T=JS&amp;NEWS=n&amp;CSC=Y&amp;PAGE=toc&amp;D=yrovft&amp;AN=00129492-000000000-00000</v>
      </c>
      <c r="N349" t="s">
        <v>1488</v>
      </c>
      <c r="O349" t="s">
        <v>2151</v>
      </c>
      <c r="P349" t="s">
        <v>2431</v>
      </c>
      <c r="Q349">
        <v>1428052</v>
      </c>
      <c r="R349" t="s">
        <v>1987</v>
      </c>
      <c r="S349" t="s">
        <v>84</v>
      </c>
      <c r="T349" t="s">
        <v>2152</v>
      </c>
      <c r="U349" t="s">
        <v>2537</v>
      </c>
      <c r="V349" t="b">
        <v>1</v>
      </c>
      <c r="W349" t="s">
        <v>2190</v>
      </c>
      <c r="X349" t="b">
        <v>0</v>
      </c>
      <c r="Y349" t="s">
        <v>2022</v>
      </c>
      <c r="Z349" t="s">
        <v>831</v>
      </c>
      <c r="AA349" t="s">
        <v>192</v>
      </c>
      <c r="AB349" t="s">
        <v>192</v>
      </c>
    </row>
    <row r="350" spans="1:28" x14ac:dyDescent="0.3">
      <c r="A350" t="s">
        <v>2952</v>
      </c>
      <c r="B350" t="s">
        <v>2022</v>
      </c>
      <c r="C350" t="s">
        <v>2122</v>
      </c>
      <c r="D350" t="s">
        <v>44</v>
      </c>
      <c r="E350" s="1">
        <v>46055</v>
      </c>
      <c r="F350">
        <v>1</v>
      </c>
      <c r="G350">
        <v>1</v>
      </c>
      <c r="H350">
        <v>6</v>
      </c>
      <c r="I350">
        <v>1</v>
      </c>
      <c r="J350" t="s">
        <v>2808</v>
      </c>
      <c r="K350" t="s">
        <v>1363</v>
      </c>
      <c r="L350" t="s">
        <v>2441</v>
      </c>
      <c r="M350" s="3" t="str">
        <f>HYPERLINK("https://ovidsp.ovid.com/ovidweb.cgi?T=JS&amp;NEWS=n&amp;CSC=Y&amp;PAGE=toc&amp;D=yrovft&amp;AN=02249956-000000000-00000","https://ovidsp.ovid.com/ovidweb.cgi?T=JS&amp;NEWS=n&amp;CSC=Y&amp;PAGE=toc&amp;D=yrovft&amp;AN=02249956-000000000-00000")</f>
        <v>https://ovidsp.ovid.com/ovidweb.cgi?T=JS&amp;NEWS=n&amp;CSC=Y&amp;PAGE=toc&amp;D=yrovft&amp;AN=02249956-000000000-00000</v>
      </c>
      <c r="N350" t="s">
        <v>2527</v>
      </c>
      <c r="O350" t="s">
        <v>2151</v>
      </c>
      <c r="P350" t="s">
        <v>2431</v>
      </c>
      <c r="Q350">
        <v>1428052</v>
      </c>
      <c r="R350" t="s">
        <v>2104</v>
      </c>
      <c r="S350" t="s">
        <v>84</v>
      </c>
      <c r="T350" t="s">
        <v>2152</v>
      </c>
      <c r="U350" t="s">
        <v>2274</v>
      </c>
      <c r="V350" t="b">
        <v>0</v>
      </c>
      <c r="W350" t="s">
        <v>2022</v>
      </c>
      <c r="X350" t="b">
        <v>0</v>
      </c>
      <c r="Y350" t="s">
        <v>2022</v>
      </c>
      <c r="Z350" t="s">
        <v>1351</v>
      </c>
      <c r="AA350" t="s">
        <v>192</v>
      </c>
      <c r="AB350" t="s">
        <v>192</v>
      </c>
    </row>
    <row r="351" spans="1:28" x14ac:dyDescent="0.3">
      <c r="A351" t="s">
        <v>2106</v>
      </c>
      <c r="B351" t="s">
        <v>1346</v>
      </c>
      <c r="C351" t="s">
        <v>1123</v>
      </c>
      <c r="D351" t="s">
        <v>44</v>
      </c>
      <c r="E351" s="1">
        <v>46055</v>
      </c>
      <c r="F351">
        <v>1</v>
      </c>
      <c r="G351">
        <v>1</v>
      </c>
      <c r="H351">
        <v>9</v>
      </c>
      <c r="I351">
        <v>3</v>
      </c>
      <c r="J351" t="s">
        <v>590</v>
      </c>
      <c r="K351" t="s">
        <v>1946</v>
      </c>
      <c r="L351" t="s">
        <v>1284</v>
      </c>
      <c r="M351" s="3" t="str">
        <f>HYPERLINK("https://ovidsp.ovid.com/ovidweb.cgi?T=JS&amp;NEWS=n&amp;CSC=Y&amp;PAGE=toc&amp;D=yrovft&amp;AN=01437870-000000000-00000","https://ovidsp.ovid.com/ovidweb.cgi?T=JS&amp;NEWS=n&amp;CSC=Y&amp;PAGE=toc&amp;D=yrovft&amp;AN=01437870-000000000-00000")</f>
        <v>https://ovidsp.ovid.com/ovidweb.cgi?T=JS&amp;NEWS=n&amp;CSC=Y&amp;PAGE=toc&amp;D=yrovft&amp;AN=01437870-000000000-00000</v>
      </c>
      <c r="N351" t="s">
        <v>2932</v>
      </c>
      <c r="O351" t="s">
        <v>2151</v>
      </c>
      <c r="P351" t="s">
        <v>2431</v>
      </c>
      <c r="Q351">
        <v>1428052</v>
      </c>
      <c r="R351" t="s">
        <v>2283</v>
      </c>
      <c r="S351" t="s">
        <v>84</v>
      </c>
      <c r="T351" t="s">
        <v>2152</v>
      </c>
      <c r="U351" t="s">
        <v>2882</v>
      </c>
      <c r="V351" t="b">
        <v>0</v>
      </c>
      <c r="W351" t="s">
        <v>2022</v>
      </c>
      <c r="X351" t="b">
        <v>0</v>
      </c>
      <c r="Y351" t="s">
        <v>2022</v>
      </c>
      <c r="Z351" t="s">
        <v>478</v>
      </c>
      <c r="AA351" t="s">
        <v>192</v>
      </c>
      <c r="AB351" t="s">
        <v>192</v>
      </c>
    </row>
    <row r="352" spans="1:28" x14ac:dyDescent="0.3">
      <c r="A352" t="s">
        <v>2626</v>
      </c>
      <c r="B352" t="s">
        <v>2662</v>
      </c>
      <c r="C352" t="s">
        <v>1102</v>
      </c>
      <c r="D352" t="s">
        <v>44</v>
      </c>
      <c r="E352" s="1">
        <v>46055</v>
      </c>
      <c r="F352">
        <v>156</v>
      </c>
      <c r="G352">
        <v>1</v>
      </c>
      <c r="H352">
        <v>167</v>
      </c>
      <c r="I352">
        <v>2</v>
      </c>
      <c r="J352" t="s">
        <v>2585</v>
      </c>
      <c r="K352" t="s">
        <v>1959</v>
      </c>
      <c r="L352" t="s">
        <v>712</v>
      </c>
      <c r="M352" s="3" t="str">
        <f>HYPERLINK("https://ovidsp.ovid.com/ovidweb.cgi?T=JS&amp;NEWS=n&amp;CSC=Y&amp;PAGE=toc&amp;D=yrovft&amp;AN=00006396-000000000-00000","https://ovidsp.ovid.com/ovidweb.cgi?T=JS&amp;NEWS=n&amp;CSC=Y&amp;PAGE=toc&amp;D=yrovft&amp;AN=00006396-000000000-00000")</f>
        <v>https://ovidsp.ovid.com/ovidweb.cgi?T=JS&amp;NEWS=n&amp;CSC=Y&amp;PAGE=toc&amp;D=yrovft&amp;AN=00006396-000000000-00000</v>
      </c>
      <c r="N352" t="s">
        <v>2362</v>
      </c>
      <c r="O352" t="s">
        <v>2151</v>
      </c>
      <c r="P352" t="s">
        <v>2431</v>
      </c>
      <c r="Q352">
        <v>1428052</v>
      </c>
      <c r="R352" t="s">
        <v>2855</v>
      </c>
      <c r="S352" t="s">
        <v>84</v>
      </c>
      <c r="T352" t="s">
        <v>2152</v>
      </c>
      <c r="U352" t="s">
        <v>2467</v>
      </c>
      <c r="V352" t="b">
        <v>1</v>
      </c>
      <c r="W352" t="s">
        <v>2077</v>
      </c>
      <c r="X352" t="b">
        <v>0</v>
      </c>
      <c r="Y352" t="s">
        <v>2022</v>
      </c>
      <c r="Z352" t="s">
        <v>1351</v>
      </c>
      <c r="AA352" t="s">
        <v>192</v>
      </c>
      <c r="AB352" t="s">
        <v>192</v>
      </c>
    </row>
    <row r="353" spans="1:28" x14ac:dyDescent="0.3">
      <c r="A353" t="s">
        <v>2420</v>
      </c>
      <c r="B353" t="s">
        <v>2022</v>
      </c>
      <c r="C353" t="s">
        <v>2835</v>
      </c>
      <c r="D353" t="s">
        <v>44</v>
      </c>
      <c r="E353" s="1">
        <v>46055</v>
      </c>
      <c r="F353">
        <v>1</v>
      </c>
      <c r="G353">
        <v>1</v>
      </c>
      <c r="H353">
        <v>11</v>
      </c>
      <c r="I353">
        <v>1</v>
      </c>
      <c r="J353" t="s">
        <v>2508</v>
      </c>
      <c r="K353" t="s">
        <v>93</v>
      </c>
      <c r="L353" t="s">
        <v>712</v>
      </c>
      <c r="M353" s="3" t="str">
        <f>HYPERLINK("https://ovidsp.ovid.com/ovidweb.cgi?T=JS&amp;NEWS=n&amp;CSC=Y&amp;PAGE=toc&amp;D=yrovft&amp;AN=01938936-000000000-00000","https://ovidsp.ovid.com/ovidweb.cgi?T=JS&amp;NEWS=n&amp;CSC=Y&amp;PAGE=toc&amp;D=yrovft&amp;AN=01938936-000000000-00000")</f>
        <v>https://ovidsp.ovid.com/ovidweb.cgi?T=JS&amp;NEWS=n&amp;CSC=Y&amp;PAGE=toc&amp;D=yrovft&amp;AN=01938936-000000000-00000</v>
      </c>
      <c r="N353" t="s">
        <v>2531</v>
      </c>
      <c r="O353" t="s">
        <v>2151</v>
      </c>
      <c r="P353" t="s">
        <v>2431</v>
      </c>
      <c r="Q353">
        <v>1428052</v>
      </c>
      <c r="R353" t="s">
        <v>1735</v>
      </c>
      <c r="S353" t="s">
        <v>84</v>
      </c>
      <c r="T353" t="s">
        <v>2152</v>
      </c>
      <c r="U353" t="s">
        <v>862</v>
      </c>
      <c r="V353" t="b">
        <v>0</v>
      </c>
      <c r="W353" t="s">
        <v>2022</v>
      </c>
      <c r="X353" t="b">
        <v>0</v>
      </c>
      <c r="Y353" t="s">
        <v>2022</v>
      </c>
      <c r="Z353" t="s">
        <v>1351</v>
      </c>
      <c r="AA353" t="s">
        <v>192</v>
      </c>
      <c r="AB353" t="s">
        <v>192</v>
      </c>
    </row>
    <row r="354" spans="1:28" x14ac:dyDescent="0.3">
      <c r="A354" t="s">
        <v>2703</v>
      </c>
      <c r="B354" t="s">
        <v>2022</v>
      </c>
      <c r="C354" t="s">
        <v>977</v>
      </c>
      <c r="D354" t="s">
        <v>44</v>
      </c>
      <c r="E354" s="1">
        <v>46055</v>
      </c>
      <c r="F354">
        <v>44</v>
      </c>
      <c r="G354">
        <v>1</v>
      </c>
      <c r="H354">
        <v>55</v>
      </c>
      <c r="I354">
        <v>2</v>
      </c>
      <c r="J354" t="s">
        <v>2585</v>
      </c>
      <c r="K354" t="s">
        <v>1959</v>
      </c>
      <c r="L354" t="s">
        <v>712</v>
      </c>
      <c r="M354" s="3" t="str">
        <f>HYPERLINK("https://ovidsp.ovid.com/ovidweb.cgi?T=JS&amp;NEWS=n&amp;CSC=Y&amp;PAGE=toc&amp;D=yrovft&amp;AN=00006676-000000000-00000","https://ovidsp.ovid.com/ovidweb.cgi?T=JS&amp;NEWS=n&amp;CSC=Y&amp;PAGE=toc&amp;D=yrovft&amp;AN=00006676-000000000-00000")</f>
        <v>https://ovidsp.ovid.com/ovidweb.cgi?T=JS&amp;NEWS=n&amp;CSC=Y&amp;PAGE=toc&amp;D=yrovft&amp;AN=00006676-000000000-00000</v>
      </c>
      <c r="N354" t="s">
        <v>2573</v>
      </c>
      <c r="O354" t="s">
        <v>2151</v>
      </c>
      <c r="P354" t="s">
        <v>2431</v>
      </c>
      <c r="Q354">
        <v>1428052</v>
      </c>
      <c r="R354" t="s">
        <v>1656</v>
      </c>
      <c r="S354" t="s">
        <v>84</v>
      </c>
      <c r="T354" t="s">
        <v>2152</v>
      </c>
      <c r="U354" t="s">
        <v>284</v>
      </c>
      <c r="V354" t="b">
        <v>1</v>
      </c>
      <c r="W354" t="s">
        <v>2648</v>
      </c>
      <c r="X354" t="b">
        <v>0</v>
      </c>
      <c r="Y354" t="s">
        <v>2022</v>
      </c>
      <c r="Z354" t="s">
        <v>1413</v>
      </c>
      <c r="AA354" t="s">
        <v>192</v>
      </c>
      <c r="AB354" t="s">
        <v>192</v>
      </c>
    </row>
    <row r="355" spans="1:28" x14ac:dyDescent="0.3">
      <c r="A355" t="s">
        <v>649</v>
      </c>
      <c r="B355" t="s">
        <v>909</v>
      </c>
      <c r="C355" t="s">
        <v>2519</v>
      </c>
      <c r="D355" t="s">
        <v>44</v>
      </c>
      <c r="E355" s="1">
        <v>46055</v>
      </c>
      <c r="F355">
        <v>6</v>
      </c>
      <c r="G355">
        <v>1</v>
      </c>
      <c r="H355">
        <v>20</v>
      </c>
      <c r="I355">
        <v>6</v>
      </c>
      <c r="J355" t="s">
        <v>555</v>
      </c>
      <c r="K355" t="s">
        <v>2380</v>
      </c>
      <c r="L355" t="s">
        <v>1263</v>
      </c>
      <c r="M355" s="3" t="str">
        <f>HYPERLINK("https://ovidsp.ovid.com/ovidweb.cgi?T=JS&amp;NEWS=n&amp;CSC=Y&amp;PAGE=toc&amp;D=yrovft&amp;AN=00132583-000000000-00000","https://ovidsp.ovid.com/ovidweb.cgi?T=JS&amp;NEWS=n&amp;CSC=Y&amp;PAGE=toc&amp;D=yrovft&amp;AN=00132583-000000000-00000")</f>
        <v>https://ovidsp.ovid.com/ovidweb.cgi?T=JS&amp;NEWS=n&amp;CSC=Y&amp;PAGE=toc&amp;D=yrovft&amp;AN=00132583-000000000-00000</v>
      </c>
      <c r="N355" t="s">
        <v>2022</v>
      </c>
      <c r="O355" t="s">
        <v>2151</v>
      </c>
      <c r="P355" t="s">
        <v>2431</v>
      </c>
      <c r="Q355">
        <v>1428052</v>
      </c>
      <c r="R355" t="s">
        <v>2506</v>
      </c>
      <c r="S355" t="s">
        <v>84</v>
      </c>
      <c r="T355" t="s">
        <v>2152</v>
      </c>
      <c r="U355" t="s">
        <v>436</v>
      </c>
      <c r="V355" t="b">
        <v>0</v>
      </c>
      <c r="W355" t="s">
        <v>2022</v>
      </c>
      <c r="X355" t="b">
        <v>0</v>
      </c>
      <c r="Y355" t="s">
        <v>2022</v>
      </c>
      <c r="Z355" t="s">
        <v>831</v>
      </c>
      <c r="AA355" t="s">
        <v>192</v>
      </c>
      <c r="AB355" t="s">
        <v>192</v>
      </c>
    </row>
    <row r="356" spans="1:28" x14ac:dyDescent="0.3">
      <c r="A356" t="s">
        <v>904</v>
      </c>
      <c r="B356" t="s">
        <v>832</v>
      </c>
      <c r="C356" t="s">
        <v>1519</v>
      </c>
      <c r="D356" t="s">
        <v>44</v>
      </c>
      <c r="E356" s="1">
        <v>46055</v>
      </c>
      <c r="F356">
        <v>16</v>
      </c>
      <c r="G356">
        <v>1</v>
      </c>
      <c r="H356">
        <v>27</v>
      </c>
      <c r="I356">
        <v>1</v>
      </c>
      <c r="J356" t="s">
        <v>672</v>
      </c>
      <c r="K356" t="s">
        <v>1959</v>
      </c>
      <c r="L356" t="s">
        <v>2919</v>
      </c>
      <c r="M356" s="3" t="str">
        <f>HYPERLINK("https://ovidsp.ovid.com/ovidweb.cgi?T=JS&amp;NEWS=n&amp;CSC=Y&amp;PAGE=toc&amp;D=yrovft&amp;AN=00130478-000000000-00000","https://ovidsp.ovid.com/ovidweb.cgi?T=JS&amp;NEWS=n&amp;CSC=Y&amp;PAGE=toc&amp;D=yrovft&amp;AN=00130478-000000000-00000")</f>
        <v>https://ovidsp.ovid.com/ovidweb.cgi?T=JS&amp;NEWS=n&amp;CSC=Y&amp;PAGE=toc&amp;D=yrovft&amp;AN=00130478-000000000-00000</v>
      </c>
      <c r="N356" t="s">
        <v>2150</v>
      </c>
      <c r="O356" t="s">
        <v>2151</v>
      </c>
      <c r="P356" t="s">
        <v>2431</v>
      </c>
      <c r="Q356">
        <v>1428052</v>
      </c>
      <c r="R356" t="s">
        <v>1274</v>
      </c>
      <c r="S356" t="s">
        <v>84</v>
      </c>
      <c r="T356" t="s">
        <v>2152</v>
      </c>
      <c r="U356" t="s">
        <v>787</v>
      </c>
      <c r="V356" t="b">
        <v>1</v>
      </c>
      <c r="W356" t="s">
        <v>2823</v>
      </c>
      <c r="X356" t="b">
        <v>0</v>
      </c>
      <c r="Y356" t="s">
        <v>2022</v>
      </c>
      <c r="Z356" t="s">
        <v>2944</v>
      </c>
      <c r="AA356" t="s">
        <v>192</v>
      </c>
      <c r="AB356" t="s">
        <v>192</v>
      </c>
    </row>
    <row r="357" spans="1:28" x14ac:dyDescent="0.3">
      <c r="A357" t="s">
        <v>1944</v>
      </c>
      <c r="B357" t="s">
        <v>2415</v>
      </c>
      <c r="C357" t="s">
        <v>2293</v>
      </c>
      <c r="D357" t="s">
        <v>44</v>
      </c>
      <c r="E357" s="1">
        <v>46055</v>
      </c>
      <c r="F357">
        <v>31</v>
      </c>
      <c r="G357">
        <v>1</v>
      </c>
      <c r="H357">
        <v>42</v>
      </c>
      <c r="I357">
        <v>1</v>
      </c>
      <c r="J357" t="s">
        <v>672</v>
      </c>
      <c r="K357" t="s">
        <v>1959</v>
      </c>
      <c r="L357" t="s">
        <v>2919</v>
      </c>
      <c r="M357" s="3" t="str">
        <f>HYPERLINK("https://ovidsp.ovid.com/ovidweb.cgi?T=JS&amp;NEWS=n&amp;CSC=Y&amp;PAGE=toc&amp;D=yrovft&amp;AN=00006565-000000000-00000","https://ovidsp.ovid.com/ovidweb.cgi?T=JS&amp;NEWS=n&amp;CSC=Y&amp;PAGE=toc&amp;D=yrovft&amp;AN=00006565-000000000-00000")</f>
        <v>https://ovidsp.ovid.com/ovidweb.cgi?T=JS&amp;NEWS=n&amp;CSC=Y&amp;PAGE=toc&amp;D=yrovft&amp;AN=00006565-000000000-00000</v>
      </c>
      <c r="N357" t="s">
        <v>829</v>
      </c>
      <c r="O357" t="s">
        <v>2151</v>
      </c>
      <c r="P357" t="s">
        <v>2431</v>
      </c>
      <c r="Q357">
        <v>1428052</v>
      </c>
      <c r="R357" t="s">
        <v>1887</v>
      </c>
      <c r="S357" t="s">
        <v>84</v>
      </c>
      <c r="T357" t="s">
        <v>2152</v>
      </c>
      <c r="U357" t="s">
        <v>2212</v>
      </c>
      <c r="V357" t="b">
        <v>1</v>
      </c>
      <c r="W357" t="s">
        <v>237</v>
      </c>
      <c r="X357" t="b">
        <v>0</v>
      </c>
      <c r="Y357" t="s">
        <v>2022</v>
      </c>
      <c r="Z357" t="s">
        <v>118</v>
      </c>
      <c r="AA357" t="s">
        <v>192</v>
      </c>
      <c r="AB357" t="s">
        <v>192</v>
      </c>
    </row>
    <row r="358" spans="1:28" x14ac:dyDescent="0.3">
      <c r="A358" t="s">
        <v>1610</v>
      </c>
      <c r="B358" t="s">
        <v>3111</v>
      </c>
      <c r="C358" t="s">
        <v>2973</v>
      </c>
      <c r="D358" t="s">
        <v>44</v>
      </c>
      <c r="E358" s="1">
        <v>46055</v>
      </c>
      <c r="F358">
        <v>34</v>
      </c>
      <c r="G358">
        <v>1</v>
      </c>
      <c r="H358">
        <v>45</v>
      </c>
      <c r="I358">
        <v>2</v>
      </c>
      <c r="J358" t="s">
        <v>2585</v>
      </c>
      <c r="K358" t="s">
        <v>1959</v>
      </c>
      <c r="L358" t="s">
        <v>712</v>
      </c>
      <c r="M358" s="3" t="str">
        <f>HYPERLINK("https://ovidsp.ovid.com/ovidweb.cgi?T=JS&amp;NEWS=n&amp;CSC=Y&amp;PAGE=toc&amp;D=yrovft&amp;AN=00006454-000000000-00000","https://ovidsp.ovid.com/ovidweb.cgi?T=JS&amp;NEWS=n&amp;CSC=Y&amp;PAGE=toc&amp;D=yrovft&amp;AN=00006454-000000000-00000")</f>
        <v>https://ovidsp.ovid.com/ovidweb.cgi?T=JS&amp;NEWS=n&amp;CSC=Y&amp;PAGE=toc&amp;D=yrovft&amp;AN=00006454-000000000-00000</v>
      </c>
      <c r="N358" t="s">
        <v>437</v>
      </c>
      <c r="O358" t="s">
        <v>2151</v>
      </c>
      <c r="P358" t="s">
        <v>2431</v>
      </c>
      <c r="Q358">
        <v>1428052</v>
      </c>
      <c r="R358" t="s">
        <v>202</v>
      </c>
      <c r="S358" t="s">
        <v>84</v>
      </c>
      <c r="T358" t="s">
        <v>2152</v>
      </c>
      <c r="U358" t="s">
        <v>1184</v>
      </c>
      <c r="V358" t="b">
        <v>1</v>
      </c>
      <c r="W358" t="s">
        <v>2557</v>
      </c>
      <c r="X358" t="b">
        <v>0</v>
      </c>
      <c r="Y358" t="s">
        <v>2022</v>
      </c>
      <c r="Z358" t="s">
        <v>2440</v>
      </c>
      <c r="AA358" t="s">
        <v>192</v>
      </c>
      <c r="AB358" t="s">
        <v>192</v>
      </c>
    </row>
    <row r="359" spans="1:28" x14ac:dyDescent="0.3">
      <c r="A359" t="s">
        <v>1404</v>
      </c>
      <c r="B359" t="s">
        <v>2906</v>
      </c>
      <c r="C359" t="s">
        <v>1268</v>
      </c>
      <c r="D359" t="s">
        <v>44</v>
      </c>
      <c r="E359" s="1">
        <v>46055</v>
      </c>
      <c r="F359">
        <v>27</v>
      </c>
      <c r="G359">
        <v>1</v>
      </c>
      <c r="H359">
        <v>38</v>
      </c>
      <c r="I359">
        <v>1</v>
      </c>
      <c r="J359" t="s">
        <v>3156</v>
      </c>
      <c r="K359" t="s">
        <v>1398</v>
      </c>
      <c r="L359" t="s">
        <v>2919</v>
      </c>
      <c r="M359" s="3" t="str">
        <f>HYPERLINK("https://ovidsp.ovid.com/ovidweb.cgi?T=JS&amp;NEWS=n&amp;CSC=Y&amp;PAGE=toc&amp;D=yrovft&amp;AN=00001577-000000000-00000","https://ovidsp.ovid.com/ovidweb.cgi?T=JS&amp;NEWS=n&amp;CSC=Y&amp;PAGE=toc&amp;D=yrovft&amp;AN=00001577-000000000-00000")</f>
        <v>https://ovidsp.ovid.com/ovidweb.cgi?T=JS&amp;NEWS=n&amp;CSC=Y&amp;PAGE=toc&amp;D=yrovft&amp;AN=00001577-000000000-00000</v>
      </c>
      <c r="N359" t="s">
        <v>2811</v>
      </c>
      <c r="O359" t="s">
        <v>2151</v>
      </c>
      <c r="P359" t="s">
        <v>2431</v>
      </c>
      <c r="Q359">
        <v>1428052</v>
      </c>
      <c r="R359" t="s">
        <v>683</v>
      </c>
      <c r="S359" t="s">
        <v>84</v>
      </c>
      <c r="T359" t="s">
        <v>2152</v>
      </c>
      <c r="U359" t="s">
        <v>1881</v>
      </c>
      <c r="V359" t="b">
        <v>0</v>
      </c>
      <c r="W359" t="s">
        <v>2022</v>
      </c>
      <c r="X359" t="b">
        <v>0</v>
      </c>
      <c r="Y359" t="s">
        <v>2022</v>
      </c>
      <c r="Z359" t="s">
        <v>118</v>
      </c>
      <c r="AA359" t="s">
        <v>192</v>
      </c>
      <c r="AB359" t="s">
        <v>192</v>
      </c>
    </row>
    <row r="360" spans="1:28" x14ac:dyDescent="0.3">
      <c r="A360" t="s">
        <v>49</v>
      </c>
      <c r="B360" t="s">
        <v>2997</v>
      </c>
      <c r="C360" t="s">
        <v>2997</v>
      </c>
      <c r="D360" t="s">
        <v>44</v>
      </c>
      <c r="E360" s="1">
        <v>46055</v>
      </c>
      <c r="F360">
        <v>1</v>
      </c>
      <c r="G360">
        <v>1</v>
      </c>
      <c r="H360">
        <v>10</v>
      </c>
      <c r="I360">
        <v>6</v>
      </c>
      <c r="J360" t="s">
        <v>1253</v>
      </c>
      <c r="K360" t="s">
        <v>343</v>
      </c>
      <c r="L360" t="s">
        <v>1124</v>
      </c>
      <c r="M360" s="3" t="str">
        <f>HYPERLINK("https://ovidsp.ovid.com/ovidweb.cgi?T=JS&amp;NEWS=n&amp;CSC=Y&amp;PAGE=toc&amp;D=yrovft&amp;AN=01949578-000000000-00000","https://ovidsp.ovid.com/ovidweb.cgi?T=JS&amp;NEWS=n&amp;CSC=Y&amp;PAGE=toc&amp;D=yrovft&amp;AN=01949578-000000000-00000")</f>
        <v>https://ovidsp.ovid.com/ovidweb.cgi?T=JS&amp;NEWS=n&amp;CSC=Y&amp;PAGE=toc&amp;D=yrovft&amp;AN=01949578-000000000-00000</v>
      </c>
      <c r="N360" t="s">
        <v>133</v>
      </c>
      <c r="O360" t="s">
        <v>2151</v>
      </c>
      <c r="P360" t="s">
        <v>2431</v>
      </c>
      <c r="Q360">
        <v>1428052</v>
      </c>
      <c r="R360" t="s">
        <v>2310</v>
      </c>
      <c r="S360" t="s">
        <v>84</v>
      </c>
      <c r="T360" t="s">
        <v>2152</v>
      </c>
      <c r="U360" t="s">
        <v>2263</v>
      </c>
      <c r="V360" t="b">
        <v>0</v>
      </c>
      <c r="W360" t="s">
        <v>2022</v>
      </c>
      <c r="X360" t="b">
        <v>0</v>
      </c>
      <c r="Y360" t="s">
        <v>2022</v>
      </c>
      <c r="Z360" t="s">
        <v>118</v>
      </c>
      <c r="AA360" t="s">
        <v>192</v>
      </c>
      <c r="AB360" t="s">
        <v>192</v>
      </c>
    </row>
    <row r="361" spans="1:28" x14ac:dyDescent="0.3">
      <c r="A361" t="s">
        <v>2986</v>
      </c>
      <c r="B361" t="s">
        <v>1217</v>
      </c>
      <c r="C361" t="s">
        <v>1199</v>
      </c>
      <c r="D361" t="s">
        <v>44</v>
      </c>
      <c r="E361" s="1">
        <v>46055</v>
      </c>
      <c r="F361">
        <v>25</v>
      </c>
      <c r="G361">
        <v>2</v>
      </c>
      <c r="H361">
        <v>36</v>
      </c>
      <c r="I361">
        <v>2</v>
      </c>
      <c r="J361" t="s">
        <v>2884</v>
      </c>
      <c r="K361" t="s">
        <v>1525</v>
      </c>
      <c r="L361" t="s">
        <v>2441</v>
      </c>
      <c r="M361" s="3" t="str">
        <f>HYPERLINK("https://ovidsp.ovid.com/ovidweb.cgi?T=JS&amp;NEWS=n&amp;CSC=Y&amp;PAGE=toc&amp;D=yrovft&amp;AN=01213011-000000000-00000","https://ovidsp.ovid.com/ovidweb.cgi?T=JS&amp;NEWS=n&amp;CSC=Y&amp;PAGE=toc&amp;D=yrovft&amp;AN=01213011-000000000-00000")</f>
        <v>https://ovidsp.ovid.com/ovidweb.cgi?T=JS&amp;NEWS=n&amp;CSC=Y&amp;PAGE=toc&amp;D=yrovft&amp;AN=01213011-000000000-00000</v>
      </c>
      <c r="N361" t="s">
        <v>1800</v>
      </c>
      <c r="O361" t="s">
        <v>2151</v>
      </c>
      <c r="P361" t="s">
        <v>2431</v>
      </c>
      <c r="Q361">
        <v>1428052</v>
      </c>
      <c r="R361" t="s">
        <v>2446</v>
      </c>
      <c r="S361" t="s">
        <v>84</v>
      </c>
      <c r="T361" t="s">
        <v>2152</v>
      </c>
      <c r="U361" t="s">
        <v>1133</v>
      </c>
      <c r="V361" t="b">
        <v>1</v>
      </c>
      <c r="W361" t="s">
        <v>528</v>
      </c>
      <c r="X361" t="b">
        <v>0</v>
      </c>
      <c r="Y361" t="s">
        <v>2022</v>
      </c>
      <c r="Z361" t="s">
        <v>2691</v>
      </c>
      <c r="AA361" t="s">
        <v>192</v>
      </c>
      <c r="AB361" t="s">
        <v>192</v>
      </c>
    </row>
    <row r="362" spans="1:28" x14ac:dyDescent="0.3">
      <c r="A362" t="s">
        <v>2228</v>
      </c>
      <c r="B362" t="s">
        <v>3096</v>
      </c>
      <c r="C362" t="s">
        <v>138</v>
      </c>
      <c r="D362" t="s">
        <v>44</v>
      </c>
      <c r="E362" s="1">
        <v>46055</v>
      </c>
      <c r="F362">
        <v>135</v>
      </c>
      <c r="G362">
        <v>1</v>
      </c>
      <c r="H362">
        <v>157</v>
      </c>
      <c r="I362">
        <v>2</v>
      </c>
      <c r="J362" t="s">
        <v>2585</v>
      </c>
      <c r="K362" t="s">
        <v>1959</v>
      </c>
      <c r="L362" t="s">
        <v>712</v>
      </c>
      <c r="M362" s="3" t="str">
        <f>HYPERLINK("https://ovidsp.ovid.com/ovidweb.cgi?T=JS&amp;NEWS=n&amp;CSC=Y&amp;PAGE=toc&amp;D=yrovft&amp;AN=00006534-000000000-00000","https://ovidsp.ovid.com/ovidweb.cgi?T=JS&amp;NEWS=n&amp;CSC=Y&amp;PAGE=toc&amp;D=yrovft&amp;AN=00006534-000000000-00000")</f>
        <v>https://ovidsp.ovid.com/ovidweb.cgi?T=JS&amp;NEWS=n&amp;CSC=Y&amp;PAGE=toc&amp;D=yrovft&amp;AN=00006534-000000000-00000</v>
      </c>
      <c r="N362" t="s">
        <v>1230</v>
      </c>
      <c r="O362" t="s">
        <v>2151</v>
      </c>
      <c r="P362" t="s">
        <v>2431</v>
      </c>
      <c r="Q362">
        <v>1428052</v>
      </c>
      <c r="R362" t="s">
        <v>442</v>
      </c>
      <c r="S362" t="s">
        <v>84</v>
      </c>
      <c r="T362" t="s">
        <v>2152</v>
      </c>
      <c r="U362" t="s">
        <v>640</v>
      </c>
      <c r="V362" t="b">
        <v>1</v>
      </c>
      <c r="W362" t="s">
        <v>2495</v>
      </c>
      <c r="X362" t="b">
        <v>0</v>
      </c>
      <c r="Y362" t="s">
        <v>2022</v>
      </c>
      <c r="Z362" t="s">
        <v>1351</v>
      </c>
      <c r="AA362" t="s">
        <v>192</v>
      </c>
      <c r="AB362" t="s">
        <v>192</v>
      </c>
    </row>
    <row r="363" spans="1:28" x14ac:dyDescent="0.3">
      <c r="A363" t="s">
        <v>806</v>
      </c>
      <c r="B363" t="s">
        <v>1165</v>
      </c>
      <c r="C363" t="s">
        <v>1144</v>
      </c>
      <c r="D363" t="s">
        <v>44</v>
      </c>
      <c r="E363" s="1">
        <v>46055</v>
      </c>
      <c r="F363">
        <v>42</v>
      </c>
      <c r="G363">
        <v>1</v>
      </c>
      <c r="H363">
        <v>46</v>
      </c>
      <c r="I363">
        <v>1</v>
      </c>
      <c r="J363" t="s">
        <v>2246</v>
      </c>
      <c r="K363" t="s">
        <v>2710</v>
      </c>
      <c r="L363" t="s">
        <v>2919</v>
      </c>
      <c r="M363" s="3" t="str">
        <f>HYPERLINK("https://ovidsp.ovid.com/ovidweb.cgi?T=JS&amp;NEWS=n&amp;CSC=Y&amp;PAGE=toc&amp;D=yrovft&amp;AN=02272668-000000000-00000","https://ovidsp.ovid.com/ovidweb.cgi?T=JS&amp;NEWS=n&amp;CSC=Y&amp;PAGE=toc&amp;D=yrovft&amp;AN=02272668-000000000-00000")</f>
        <v>https://ovidsp.ovid.com/ovidweb.cgi?T=JS&amp;NEWS=n&amp;CSC=Y&amp;PAGE=toc&amp;D=yrovft&amp;AN=02272668-000000000-00000</v>
      </c>
      <c r="N363" t="s">
        <v>2844</v>
      </c>
      <c r="O363" t="s">
        <v>2151</v>
      </c>
      <c r="P363" t="s">
        <v>2431</v>
      </c>
      <c r="Q363">
        <v>1428052</v>
      </c>
      <c r="R363" t="s">
        <v>384</v>
      </c>
      <c r="S363" t="s">
        <v>84</v>
      </c>
      <c r="T363" t="s">
        <v>2152</v>
      </c>
      <c r="U363" t="s">
        <v>2438</v>
      </c>
      <c r="V363" t="b">
        <v>0</v>
      </c>
      <c r="W363" t="s">
        <v>2022</v>
      </c>
      <c r="X363" t="b">
        <v>0</v>
      </c>
      <c r="Y363" t="s">
        <v>2022</v>
      </c>
      <c r="Z363" t="s">
        <v>2022</v>
      </c>
      <c r="AA363" t="s">
        <v>192</v>
      </c>
      <c r="AB363" t="s">
        <v>192</v>
      </c>
    </row>
    <row r="364" spans="1:28" x14ac:dyDescent="0.3">
      <c r="A364" t="s">
        <v>2006</v>
      </c>
      <c r="B364" t="s">
        <v>2022</v>
      </c>
      <c r="C364" t="s">
        <v>2667</v>
      </c>
      <c r="D364" t="s">
        <v>44</v>
      </c>
      <c r="E364" s="1">
        <v>46055</v>
      </c>
      <c r="F364">
        <v>1</v>
      </c>
      <c r="G364">
        <v>1</v>
      </c>
      <c r="H364">
        <v>14</v>
      </c>
      <c r="I364">
        <v>1</v>
      </c>
      <c r="J364" t="s">
        <v>2707</v>
      </c>
      <c r="K364" t="s">
        <v>737</v>
      </c>
      <c r="L364" t="s">
        <v>2919</v>
      </c>
      <c r="M364" s="3" t="str">
        <f>HYPERLINK("https://ovidsp.ovid.com/ovidweb.cgi?T=JS&amp;NEWS=n&amp;CSC=Y&amp;PAGE=toc&amp;D=yrovft&amp;AN=01720096-000000000-00000","https://ovidsp.ovid.com/ovidweb.cgi?T=JS&amp;NEWS=n&amp;CSC=Y&amp;PAGE=toc&amp;D=yrovft&amp;AN=01720096-000000000-00000")</f>
        <v>https://ovidsp.ovid.com/ovidweb.cgi?T=JS&amp;NEWS=n&amp;CSC=Y&amp;PAGE=toc&amp;D=yrovft&amp;AN=01720096-000000000-00000</v>
      </c>
      <c r="N364" t="s">
        <v>2447</v>
      </c>
      <c r="O364" t="s">
        <v>2151</v>
      </c>
      <c r="P364" t="s">
        <v>2431</v>
      </c>
      <c r="Q364">
        <v>1428052</v>
      </c>
      <c r="R364" t="s">
        <v>1687</v>
      </c>
      <c r="S364" t="s">
        <v>84</v>
      </c>
      <c r="T364" t="s">
        <v>2152</v>
      </c>
      <c r="U364" t="s">
        <v>632</v>
      </c>
      <c r="V364" t="b">
        <v>0</v>
      </c>
      <c r="W364" t="s">
        <v>2022</v>
      </c>
      <c r="X364" t="b">
        <v>0</v>
      </c>
      <c r="Y364" t="s">
        <v>2022</v>
      </c>
      <c r="Z364" t="s">
        <v>1351</v>
      </c>
      <c r="AA364" t="s">
        <v>192</v>
      </c>
      <c r="AB364" t="s">
        <v>192</v>
      </c>
    </row>
    <row r="365" spans="1:28" x14ac:dyDescent="0.3">
      <c r="A365" t="s">
        <v>660</v>
      </c>
      <c r="B365" t="s">
        <v>2046</v>
      </c>
      <c r="C365" t="s">
        <v>3026</v>
      </c>
      <c r="D365" t="s">
        <v>44</v>
      </c>
      <c r="E365" s="1">
        <v>46055</v>
      </c>
      <c r="F365">
        <v>35</v>
      </c>
      <c r="G365">
        <v>1</v>
      </c>
      <c r="H365">
        <v>41</v>
      </c>
      <c r="I365">
        <v>4</v>
      </c>
      <c r="J365" t="s">
        <v>2074</v>
      </c>
      <c r="K365" t="s">
        <v>1959</v>
      </c>
      <c r="L365" t="s">
        <v>754</v>
      </c>
      <c r="M365" s="3" t="str">
        <f>HYPERLINK("https://ovidsp.ovid.com/ovidweb.cgi?T=JS&amp;NEWS=n&amp;CSC=Y&amp;PAGE=toc&amp;D=yrovft&amp;AN=00006527-000000000-00000","https://ovidsp.ovid.com/ovidweb.cgi?T=JS&amp;NEWS=n&amp;CSC=Y&amp;PAGE=toc&amp;D=yrovft&amp;AN=00006527-000000000-00000")</f>
        <v>https://ovidsp.ovid.com/ovidweb.cgi?T=JS&amp;NEWS=n&amp;CSC=Y&amp;PAGE=toc&amp;D=yrovft&amp;AN=00006527-000000000-00000</v>
      </c>
      <c r="N365" t="s">
        <v>1939</v>
      </c>
      <c r="O365" t="s">
        <v>2151</v>
      </c>
      <c r="P365" t="s">
        <v>2431</v>
      </c>
      <c r="Q365">
        <v>1428052</v>
      </c>
      <c r="R365" t="s">
        <v>2878</v>
      </c>
      <c r="S365" t="s">
        <v>84</v>
      </c>
      <c r="T365" t="s">
        <v>2152</v>
      </c>
      <c r="U365" t="s">
        <v>994</v>
      </c>
      <c r="V365" t="b">
        <v>0</v>
      </c>
      <c r="W365" t="s">
        <v>2022</v>
      </c>
      <c r="X365" t="b">
        <v>0</v>
      </c>
      <c r="Y365" t="s">
        <v>2022</v>
      </c>
      <c r="Z365" t="s">
        <v>2944</v>
      </c>
      <c r="AA365" t="s">
        <v>192</v>
      </c>
      <c r="AB365" t="s">
        <v>192</v>
      </c>
    </row>
    <row r="366" spans="1:28" x14ac:dyDescent="0.3">
      <c r="A366" t="s">
        <v>2392</v>
      </c>
      <c r="B366" t="s">
        <v>1493</v>
      </c>
      <c r="C366" t="s">
        <v>1440</v>
      </c>
      <c r="D366" t="s">
        <v>44</v>
      </c>
      <c r="E366" s="1">
        <v>46055</v>
      </c>
      <c r="F366">
        <v>1</v>
      </c>
      <c r="G366">
        <v>1</v>
      </c>
      <c r="H366">
        <v>19</v>
      </c>
      <c r="I366">
        <v>4</v>
      </c>
      <c r="J366" t="s">
        <v>2897</v>
      </c>
      <c r="K366" t="s">
        <v>1892</v>
      </c>
      <c r="L366" t="s">
        <v>1695</v>
      </c>
      <c r="M366" s="3" t="str">
        <f>HYPERLINK("https://ovidsp.ovid.com/ovidweb.cgi?T=JS&amp;NEWS=n&amp;CSC=Y&amp;PAGE=toc&amp;D=yrovft&amp;AN=00134384-000000000-00000","https://ovidsp.ovid.com/ovidweb.cgi?T=JS&amp;NEWS=n&amp;CSC=Y&amp;PAGE=toc&amp;D=yrovft&amp;AN=00134384-000000000-00000")</f>
        <v>https://ovidsp.ovid.com/ovidweb.cgi?T=JS&amp;NEWS=n&amp;CSC=Y&amp;PAGE=toc&amp;D=yrovft&amp;AN=00134384-000000000-00000</v>
      </c>
      <c r="N366" t="s">
        <v>1029</v>
      </c>
      <c r="O366" t="s">
        <v>2151</v>
      </c>
      <c r="P366" t="s">
        <v>2431</v>
      </c>
      <c r="Q366">
        <v>1428052</v>
      </c>
      <c r="R366" t="s">
        <v>853</v>
      </c>
      <c r="S366" t="s">
        <v>84</v>
      </c>
      <c r="T366" t="s">
        <v>2152</v>
      </c>
      <c r="U366" t="s">
        <v>1247</v>
      </c>
      <c r="V366" t="b">
        <v>0</v>
      </c>
      <c r="W366" t="s">
        <v>2022</v>
      </c>
      <c r="X366" t="b">
        <v>0</v>
      </c>
      <c r="Y366" t="s">
        <v>2022</v>
      </c>
      <c r="Z366" t="s">
        <v>831</v>
      </c>
      <c r="AA366" t="s">
        <v>192</v>
      </c>
      <c r="AB366" t="s">
        <v>192</v>
      </c>
    </row>
    <row r="367" spans="1:28" x14ac:dyDescent="0.3">
      <c r="A367" t="s">
        <v>472</v>
      </c>
      <c r="B367" t="s">
        <v>2022</v>
      </c>
      <c r="C367" t="s">
        <v>1760</v>
      </c>
      <c r="D367" t="s">
        <v>44</v>
      </c>
      <c r="E367" s="1">
        <v>46055</v>
      </c>
      <c r="F367">
        <v>1</v>
      </c>
      <c r="G367">
        <v>1</v>
      </c>
      <c r="H367">
        <v>10</v>
      </c>
      <c r="I367">
        <v>6</v>
      </c>
      <c r="J367" t="s">
        <v>2084</v>
      </c>
      <c r="K367" t="s">
        <v>187</v>
      </c>
      <c r="L367" t="s">
        <v>1124</v>
      </c>
      <c r="M367" s="3" t="str">
        <f>HYPERLINK("https://ovidsp.ovid.com/ovidweb.cgi?T=JS&amp;NEWS=n&amp;CSC=Y&amp;PAGE=toc&amp;D=yrovft&amp;AN=02054639-000000000-00000","https://ovidsp.ovid.com/ovidweb.cgi?T=JS&amp;NEWS=n&amp;CSC=Y&amp;PAGE=toc&amp;D=yrovft&amp;AN=02054639-000000000-00000")</f>
        <v>https://ovidsp.ovid.com/ovidweb.cgi?T=JS&amp;NEWS=n&amp;CSC=Y&amp;PAGE=toc&amp;D=yrovft&amp;AN=02054639-000000000-00000</v>
      </c>
      <c r="N367" t="s">
        <v>21</v>
      </c>
      <c r="O367" t="s">
        <v>2151</v>
      </c>
      <c r="P367" t="s">
        <v>2431</v>
      </c>
      <c r="Q367">
        <v>1428052</v>
      </c>
      <c r="R367" t="s">
        <v>1</v>
      </c>
      <c r="S367" t="s">
        <v>84</v>
      </c>
      <c r="T367" t="s">
        <v>2152</v>
      </c>
      <c r="U367" t="s">
        <v>1092</v>
      </c>
      <c r="V367" t="b">
        <v>0</v>
      </c>
      <c r="W367" t="s">
        <v>2022</v>
      </c>
      <c r="X367" t="b">
        <v>0</v>
      </c>
      <c r="Y367" t="s">
        <v>2022</v>
      </c>
      <c r="Z367" t="s">
        <v>2690</v>
      </c>
      <c r="AA367" t="s">
        <v>192</v>
      </c>
      <c r="AB367" t="s">
        <v>192</v>
      </c>
    </row>
    <row r="368" spans="1:28" x14ac:dyDescent="0.3">
      <c r="A368" t="s">
        <v>419</v>
      </c>
      <c r="B368" t="s">
        <v>1968</v>
      </c>
      <c r="C368" t="s">
        <v>2022</v>
      </c>
      <c r="D368" t="s">
        <v>44</v>
      </c>
      <c r="E368" s="1">
        <v>46055</v>
      </c>
      <c r="F368">
        <v>35</v>
      </c>
      <c r="G368">
        <v>1</v>
      </c>
      <c r="H368">
        <v>35</v>
      </c>
      <c r="I368">
        <v>24</v>
      </c>
      <c r="J368" t="s">
        <v>2451</v>
      </c>
      <c r="K368" t="s">
        <v>1093</v>
      </c>
      <c r="L368" t="s">
        <v>291</v>
      </c>
      <c r="M368" s="3" t="str">
        <f>HYPERLINK("https://ovidsp.ovid.com/ovidweb.cgi?T=JS&amp;NEWS=n&amp;CSC=Y&amp;PAGE=toc&amp;D=yrovft&amp;AN=00256406-000000000-00000","https://ovidsp.ovid.com/ovidweb.cgi?T=JS&amp;NEWS=n&amp;CSC=Y&amp;PAGE=toc&amp;D=yrovft&amp;AN=00256406-000000000-00000")</f>
        <v>https://ovidsp.ovid.com/ovidweb.cgi?T=JS&amp;NEWS=n&amp;CSC=Y&amp;PAGE=toc&amp;D=yrovft&amp;AN=00256406-000000000-00000</v>
      </c>
      <c r="N368" t="s">
        <v>856</v>
      </c>
      <c r="O368" t="s">
        <v>2151</v>
      </c>
      <c r="P368" t="s">
        <v>2431</v>
      </c>
      <c r="Q368">
        <v>1428052</v>
      </c>
      <c r="R368" t="s">
        <v>2026</v>
      </c>
      <c r="S368" t="s">
        <v>84</v>
      </c>
      <c r="T368" t="s">
        <v>2152</v>
      </c>
      <c r="U368" t="s">
        <v>1830</v>
      </c>
      <c r="V368" t="b">
        <v>0</v>
      </c>
      <c r="W368" t="s">
        <v>2022</v>
      </c>
      <c r="X368" t="b">
        <v>0</v>
      </c>
      <c r="Y368" t="s">
        <v>2022</v>
      </c>
      <c r="Z368" t="s">
        <v>831</v>
      </c>
      <c r="AA368" t="s">
        <v>192</v>
      </c>
      <c r="AB368" t="s">
        <v>192</v>
      </c>
    </row>
    <row r="369" spans="1:28" x14ac:dyDescent="0.3">
      <c r="A369" t="s">
        <v>834</v>
      </c>
      <c r="B369" t="s">
        <v>2022</v>
      </c>
      <c r="C369" t="s">
        <v>126</v>
      </c>
      <c r="D369" t="s">
        <v>44</v>
      </c>
      <c r="E369" s="1">
        <v>46055</v>
      </c>
      <c r="F369">
        <v>1</v>
      </c>
      <c r="G369">
        <v>1</v>
      </c>
      <c r="H369">
        <v>4</v>
      </c>
      <c r="I369">
        <v>4</v>
      </c>
      <c r="J369" t="s">
        <v>485</v>
      </c>
      <c r="K369" t="s">
        <v>1722</v>
      </c>
      <c r="L369" t="s">
        <v>2771</v>
      </c>
      <c r="M369" s="3" t="str">
        <f>HYPERLINK("https://ovidsp.ovid.com/ovidweb.cgi?T=JS&amp;NEWS=n&amp;CSC=Y&amp;PAGE=toc&amp;D=yrovft&amp;AN=02272506-000000000-00000","https://ovidsp.ovid.com/ovidweb.cgi?T=JS&amp;NEWS=n&amp;CSC=Y&amp;PAGE=toc&amp;D=yrovft&amp;AN=02272506-000000000-00000")</f>
        <v>https://ovidsp.ovid.com/ovidweb.cgi?T=JS&amp;NEWS=n&amp;CSC=Y&amp;PAGE=toc&amp;D=yrovft&amp;AN=02272506-000000000-00000</v>
      </c>
      <c r="N369" t="s">
        <v>2918</v>
      </c>
      <c r="O369" t="s">
        <v>2151</v>
      </c>
      <c r="P369" t="s">
        <v>2431</v>
      </c>
      <c r="Q369">
        <v>1428052</v>
      </c>
      <c r="R369" t="s">
        <v>365</v>
      </c>
      <c r="S369" t="s">
        <v>84</v>
      </c>
      <c r="T369" t="s">
        <v>2152</v>
      </c>
      <c r="U369" t="s">
        <v>261</v>
      </c>
      <c r="V369" t="b">
        <v>0</v>
      </c>
      <c r="W369" t="s">
        <v>2022</v>
      </c>
      <c r="X369" t="b">
        <v>0</v>
      </c>
      <c r="Y369" t="s">
        <v>2022</v>
      </c>
      <c r="Z369" t="s">
        <v>1699</v>
      </c>
      <c r="AA369" t="s">
        <v>192</v>
      </c>
      <c r="AB369" t="s">
        <v>192</v>
      </c>
    </row>
    <row r="370" spans="1:28" x14ac:dyDescent="0.3">
      <c r="A370" t="s">
        <v>1541</v>
      </c>
      <c r="B370" t="s">
        <v>1013</v>
      </c>
      <c r="C370" t="s">
        <v>2132</v>
      </c>
      <c r="D370" t="s">
        <v>44</v>
      </c>
      <c r="E370" s="1">
        <v>46055</v>
      </c>
      <c r="F370">
        <v>20</v>
      </c>
      <c r="G370">
        <v>1</v>
      </c>
      <c r="H370">
        <v>31</v>
      </c>
      <c r="I370">
        <v>2</v>
      </c>
      <c r="J370" t="s">
        <v>359</v>
      </c>
      <c r="K370" t="s">
        <v>1959</v>
      </c>
      <c r="L370" t="s">
        <v>2441</v>
      </c>
      <c r="M370" s="3" t="str">
        <f>HYPERLINK("https://ovidsp.ovid.com/ovidweb.cgi?T=JS&amp;NEWS=n&amp;CSC=Y&amp;PAGE=toc&amp;D=yrovft&amp;AN=01269241-000000000-00000","https://ovidsp.ovid.com/ovidweb.cgi?T=JS&amp;NEWS=n&amp;CSC=Y&amp;PAGE=toc&amp;D=yrovft&amp;AN=01269241-000000000-00000")</f>
        <v>https://ovidsp.ovid.com/ovidweb.cgi?T=JS&amp;NEWS=n&amp;CSC=Y&amp;PAGE=toc&amp;D=yrovft&amp;AN=01269241-000000000-00000</v>
      </c>
      <c r="N370" t="s">
        <v>1521</v>
      </c>
      <c r="O370" t="s">
        <v>2151</v>
      </c>
      <c r="P370" t="s">
        <v>2431</v>
      </c>
      <c r="Q370">
        <v>1428052</v>
      </c>
      <c r="R370" t="s">
        <v>1973</v>
      </c>
      <c r="S370" t="s">
        <v>84</v>
      </c>
      <c r="T370" t="s">
        <v>2152</v>
      </c>
      <c r="U370" t="s">
        <v>3157</v>
      </c>
      <c r="V370" t="b">
        <v>1</v>
      </c>
      <c r="W370" t="s">
        <v>946</v>
      </c>
      <c r="X370" t="b">
        <v>0</v>
      </c>
      <c r="Y370" t="s">
        <v>2022</v>
      </c>
      <c r="Z370" t="s">
        <v>478</v>
      </c>
      <c r="AA370" t="s">
        <v>192</v>
      </c>
      <c r="AB370" t="s">
        <v>192</v>
      </c>
    </row>
    <row r="371" spans="1:28" x14ac:dyDescent="0.3">
      <c r="A371" t="s">
        <v>2323</v>
      </c>
      <c r="B371" t="s">
        <v>2022</v>
      </c>
      <c r="C371" t="s">
        <v>2859</v>
      </c>
      <c r="D371" t="s">
        <v>44</v>
      </c>
      <c r="E371" s="1">
        <v>46055</v>
      </c>
      <c r="F371">
        <v>39</v>
      </c>
      <c r="G371">
        <v>1</v>
      </c>
      <c r="H371">
        <v>49</v>
      </c>
      <c r="I371">
        <v>6</v>
      </c>
      <c r="J371" t="s">
        <v>1458</v>
      </c>
      <c r="K371" t="s">
        <v>1525</v>
      </c>
      <c r="L371" t="s">
        <v>2771</v>
      </c>
      <c r="M371" s="3" t="str">
        <f>HYPERLINK("https://ovidsp.ovid.com/ovidweb.cgi?T=JS&amp;NEWS=n&amp;CSC=Y&amp;PAGE=toc&amp;D=yrovft&amp;AN=00006479-000000000-00000","https://ovidsp.ovid.com/ovidweb.cgi?T=JS&amp;NEWS=n&amp;CSC=Y&amp;PAGE=toc&amp;D=yrovft&amp;AN=00006479-000000000-00000")</f>
        <v>https://ovidsp.ovid.com/ovidweb.cgi?T=JS&amp;NEWS=n&amp;CSC=Y&amp;PAGE=toc&amp;D=yrovft&amp;AN=00006479-000000000-00000</v>
      </c>
      <c r="N371" t="s">
        <v>1326</v>
      </c>
      <c r="O371" t="s">
        <v>2151</v>
      </c>
      <c r="P371" t="s">
        <v>2431</v>
      </c>
      <c r="Q371">
        <v>1428052</v>
      </c>
      <c r="R371" t="s">
        <v>2616</v>
      </c>
      <c r="S371" t="s">
        <v>84</v>
      </c>
      <c r="T371" t="s">
        <v>2152</v>
      </c>
      <c r="U371" t="s">
        <v>2730</v>
      </c>
      <c r="V371" t="b">
        <v>1</v>
      </c>
      <c r="W371" t="s">
        <v>1072</v>
      </c>
      <c r="X371" t="b">
        <v>0</v>
      </c>
      <c r="Y371" t="s">
        <v>2022</v>
      </c>
      <c r="Z371" t="s">
        <v>2022</v>
      </c>
      <c r="AA371" t="s">
        <v>192</v>
      </c>
      <c r="AB371" t="s">
        <v>192</v>
      </c>
    </row>
    <row r="372" spans="1:28" x14ac:dyDescent="0.3">
      <c r="A372" t="s">
        <v>549</v>
      </c>
      <c r="B372" t="s">
        <v>619</v>
      </c>
      <c r="C372" t="s">
        <v>41</v>
      </c>
      <c r="D372" t="s">
        <v>44</v>
      </c>
      <c r="E372" s="1">
        <v>46055</v>
      </c>
      <c r="F372">
        <v>25</v>
      </c>
      <c r="G372">
        <v>1</v>
      </c>
      <c r="H372">
        <v>36</v>
      </c>
      <c r="I372">
        <v>1</v>
      </c>
      <c r="J372" t="s">
        <v>2884</v>
      </c>
      <c r="K372" t="s">
        <v>1525</v>
      </c>
      <c r="L372" t="s">
        <v>2441</v>
      </c>
      <c r="M372" s="3" t="str">
        <f>HYPERLINK("https://ovidsp.ovid.com/ovidweb.cgi?T=JS&amp;NEWS=n&amp;CSC=Y&amp;PAGE=toc&amp;D=yrovft&amp;AN=00041444-000000000-00000","https://ovidsp.ovid.com/ovidweb.cgi?T=JS&amp;NEWS=n&amp;CSC=Y&amp;PAGE=toc&amp;D=yrovft&amp;AN=00041444-000000000-00000")</f>
        <v>https://ovidsp.ovid.com/ovidweb.cgi?T=JS&amp;NEWS=n&amp;CSC=Y&amp;PAGE=toc&amp;D=yrovft&amp;AN=00041444-000000000-00000</v>
      </c>
      <c r="N372" t="s">
        <v>2093</v>
      </c>
      <c r="O372" t="s">
        <v>2151</v>
      </c>
      <c r="P372" t="s">
        <v>2431</v>
      </c>
      <c r="Q372">
        <v>1428052</v>
      </c>
      <c r="R372" t="s">
        <v>1038</v>
      </c>
      <c r="S372" t="s">
        <v>84</v>
      </c>
      <c r="T372" t="s">
        <v>2152</v>
      </c>
      <c r="U372" t="s">
        <v>1961</v>
      </c>
      <c r="V372" t="b">
        <v>1</v>
      </c>
      <c r="W372" t="s">
        <v>1400</v>
      </c>
      <c r="X372" t="b">
        <v>0</v>
      </c>
      <c r="Y372" t="s">
        <v>2022</v>
      </c>
      <c r="Z372" t="s">
        <v>1702</v>
      </c>
      <c r="AA372" t="s">
        <v>192</v>
      </c>
      <c r="AB372" t="s">
        <v>192</v>
      </c>
    </row>
    <row r="373" spans="1:28" x14ac:dyDescent="0.3">
      <c r="A373" t="s">
        <v>499</v>
      </c>
      <c r="B373" t="s">
        <v>2540</v>
      </c>
      <c r="C373" t="s">
        <v>1349</v>
      </c>
      <c r="D373" t="s">
        <v>44</v>
      </c>
      <c r="E373" s="1">
        <v>46055</v>
      </c>
      <c r="F373">
        <v>42</v>
      </c>
      <c r="G373">
        <v>6</v>
      </c>
      <c r="H373">
        <v>49</v>
      </c>
      <c r="I373">
        <v>1</v>
      </c>
      <c r="J373" t="s">
        <v>1842</v>
      </c>
      <c r="K373" t="s">
        <v>857</v>
      </c>
      <c r="L373" t="s">
        <v>1677</v>
      </c>
      <c r="M373" s="3" t="str">
        <f>HYPERLINK("https://ovidsp.ovid.com/ovidweb.cgi?T=JS&amp;NEWS=n&amp;CSC=Y&amp;PAGE=toc&amp;D=yrovft&amp;AN=01300408-000000000-00000","https://ovidsp.ovid.com/ovidweb.cgi?T=JS&amp;NEWS=n&amp;CSC=Y&amp;PAGE=toc&amp;D=yrovft&amp;AN=01300408-000000000-00000")</f>
        <v>https://ovidsp.ovid.com/ovidweb.cgi?T=JS&amp;NEWS=n&amp;CSC=Y&amp;PAGE=toc&amp;D=yrovft&amp;AN=01300408-000000000-00000</v>
      </c>
      <c r="N373" t="s">
        <v>3034</v>
      </c>
      <c r="O373" t="s">
        <v>2151</v>
      </c>
      <c r="P373" t="s">
        <v>2431</v>
      </c>
      <c r="Q373">
        <v>1428052</v>
      </c>
      <c r="R373" t="s">
        <v>2685</v>
      </c>
      <c r="S373" t="s">
        <v>84</v>
      </c>
      <c r="T373" t="s">
        <v>2152</v>
      </c>
      <c r="U373" t="s">
        <v>2411</v>
      </c>
      <c r="V373" t="b">
        <v>0</v>
      </c>
      <c r="W373" t="s">
        <v>2022</v>
      </c>
      <c r="X373" t="b">
        <v>0</v>
      </c>
      <c r="Y373" t="s">
        <v>2022</v>
      </c>
      <c r="Z373" t="s">
        <v>2927</v>
      </c>
      <c r="AA373" t="s">
        <v>192</v>
      </c>
      <c r="AB373" t="s">
        <v>192</v>
      </c>
    </row>
    <row r="374" spans="1:28" x14ac:dyDescent="0.3">
      <c r="A374" t="s">
        <v>1589</v>
      </c>
      <c r="B374" t="s">
        <v>2227</v>
      </c>
      <c r="C374" t="s">
        <v>277</v>
      </c>
      <c r="D374" t="s">
        <v>44</v>
      </c>
      <c r="E374" s="1">
        <v>46055</v>
      </c>
      <c r="F374">
        <v>77</v>
      </c>
      <c r="G374">
        <v>1</v>
      </c>
      <c r="H374">
        <v>86</v>
      </c>
      <c r="I374">
        <v>9</v>
      </c>
      <c r="J374" t="s">
        <v>2526</v>
      </c>
      <c r="K374" t="s">
        <v>1959</v>
      </c>
      <c r="L374" t="s">
        <v>2582</v>
      </c>
      <c r="M374" s="3" t="str">
        <f>HYPERLINK("https://ovidsp.ovid.com/ovidweb.cgi?T=JS&amp;NEWS=n&amp;CSC=Y&amp;PAGE=toc&amp;D=yrovft&amp;AN=00006842-000000000-00000","https://ovidsp.ovid.com/ovidweb.cgi?T=JS&amp;NEWS=n&amp;CSC=Y&amp;PAGE=toc&amp;D=yrovft&amp;AN=00006842-000000000-00000")</f>
        <v>https://ovidsp.ovid.com/ovidweb.cgi?T=JS&amp;NEWS=n&amp;CSC=Y&amp;PAGE=toc&amp;D=yrovft&amp;AN=00006842-000000000-00000</v>
      </c>
      <c r="N374" t="s">
        <v>509</v>
      </c>
      <c r="O374" t="s">
        <v>2151</v>
      </c>
      <c r="P374" t="s">
        <v>2431</v>
      </c>
      <c r="Q374">
        <v>1428052</v>
      </c>
      <c r="R374" t="s">
        <v>750</v>
      </c>
      <c r="S374" t="s">
        <v>84</v>
      </c>
      <c r="T374" t="s">
        <v>2152</v>
      </c>
      <c r="U374" t="s">
        <v>1189</v>
      </c>
      <c r="V374" t="b">
        <v>0</v>
      </c>
      <c r="W374" t="s">
        <v>2022</v>
      </c>
      <c r="X374" t="b">
        <v>0</v>
      </c>
      <c r="Y374" t="s">
        <v>2022</v>
      </c>
      <c r="Z374" t="s">
        <v>2927</v>
      </c>
      <c r="AA374" t="s">
        <v>192</v>
      </c>
      <c r="AB374" t="s">
        <v>192</v>
      </c>
    </row>
    <row r="375" spans="1:28" x14ac:dyDescent="0.3">
      <c r="A375" t="s">
        <v>1882</v>
      </c>
      <c r="B375" t="s">
        <v>2594</v>
      </c>
      <c r="C375" t="s">
        <v>753</v>
      </c>
      <c r="D375" t="s">
        <v>44</v>
      </c>
      <c r="E375" s="1">
        <v>46055</v>
      </c>
      <c r="F375">
        <v>24</v>
      </c>
      <c r="G375">
        <v>1</v>
      </c>
      <c r="H375">
        <v>35</v>
      </c>
      <c r="I375">
        <v>1</v>
      </c>
      <c r="J375" t="s">
        <v>672</v>
      </c>
      <c r="K375" t="s">
        <v>1959</v>
      </c>
      <c r="L375" t="s">
        <v>2919</v>
      </c>
      <c r="M375" s="3" t="str">
        <f>HYPERLINK("https://ovidsp.ovid.com/ovidweb.cgi?T=JS&amp;NEWS=n&amp;CSC=Y&amp;PAGE=toc&amp;D=yrovft&amp;AN=00019514-000000000-00000","https://ovidsp.ovid.com/ovidweb.cgi?T=JS&amp;NEWS=n&amp;CSC=Y&amp;PAGE=toc&amp;D=yrovft&amp;AN=00019514-000000000-00000")</f>
        <v>https://ovidsp.ovid.com/ovidweb.cgi?T=JS&amp;NEWS=n&amp;CSC=Y&amp;PAGE=toc&amp;D=yrovft&amp;AN=00019514-000000000-00000</v>
      </c>
      <c r="N375" t="s">
        <v>1068</v>
      </c>
      <c r="O375" t="s">
        <v>2151</v>
      </c>
      <c r="P375" t="s">
        <v>2431</v>
      </c>
      <c r="Q375">
        <v>1428052</v>
      </c>
      <c r="R375" t="s">
        <v>397</v>
      </c>
      <c r="S375" t="s">
        <v>84</v>
      </c>
      <c r="T375" t="s">
        <v>2152</v>
      </c>
      <c r="U375" t="s">
        <v>2405</v>
      </c>
      <c r="V375" t="b">
        <v>1</v>
      </c>
      <c r="W375" t="s">
        <v>3091</v>
      </c>
      <c r="X375" t="b">
        <v>0</v>
      </c>
      <c r="Y375" t="s">
        <v>2022</v>
      </c>
      <c r="Z375" t="s">
        <v>2070</v>
      </c>
      <c r="AA375" t="s">
        <v>192</v>
      </c>
      <c r="AB375" t="s">
        <v>192</v>
      </c>
    </row>
    <row r="376" spans="1:28" x14ac:dyDescent="0.3">
      <c r="A376" t="s">
        <v>1601</v>
      </c>
      <c r="B376" t="s">
        <v>2181</v>
      </c>
      <c r="C376" t="s">
        <v>2022</v>
      </c>
      <c r="D376" t="s">
        <v>44</v>
      </c>
      <c r="E376" s="1">
        <v>46055</v>
      </c>
      <c r="F376">
        <v>8</v>
      </c>
      <c r="G376">
        <v>1</v>
      </c>
      <c r="H376">
        <v>17</v>
      </c>
      <c r="I376">
        <v>6</v>
      </c>
      <c r="J376" t="s">
        <v>2735</v>
      </c>
      <c r="K376" t="s">
        <v>2380</v>
      </c>
      <c r="L376" t="s">
        <v>532</v>
      </c>
      <c r="M376" s="3" t="str">
        <f>HYPERLINK("https://ovidsp.ovid.com/ovidweb.cgi?T=JS&amp;NEWS=n&amp;CSC=Y&amp;PAGE=toc&amp;D=yrovft&amp;AN=00132986-000000000-00000","https://ovidsp.ovid.com/ovidweb.cgi?T=JS&amp;NEWS=n&amp;CSC=Y&amp;PAGE=toc&amp;D=yrovft&amp;AN=00132986-000000000-00000")</f>
        <v>https://ovidsp.ovid.com/ovidweb.cgi?T=JS&amp;NEWS=n&amp;CSC=Y&amp;PAGE=toc&amp;D=yrovft&amp;AN=00132986-000000000-00000</v>
      </c>
      <c r="N376" t="s">
        <v>2022</v>
      </c>
      <c r="O376" t="s">
        <v>2151</v>
      </c>
      <c r="P376" t="s">
        <v>2431</v>
      </c>
      <c r="Q376">
        <v>1428052</v>
      </c>
      <c r="R376" t="s">
        <v>2367</v>
      </c>
      <c r="S376" t="s">
        <v>84</v>
      </c>
      <c r="T376" t="s">
        <v>2152</v>
      </c>
      <c r="U376" t="s">
        <v>1648</v>
      </c>
      <c r="V376" t="b">
        <v>0</v>
      </c>
      <c r="W376" t="s">
        <v>2022</v>
      </c>
      <c r="X376" t="b">
        <v>0</v>
      </c>
      <c r="Y376" t="s">
        <v>2022</v>
      </c>
      <c r="Z376" t="s">
        <v>828</v>
      </c>
      <c r="AA376" t="s">
        <v>192</v>
      </c>
      <c r="AB376" t="s">
        <v>192</v>
      </c>
    </row>
    <row r="377" spans="1:28" x14ac:dyDescent="0.3">
      <c r="A377" t="s">
        <v>959</v>
      </c>
      <c r="B377" t="s">
        <v>630</v>
      </c>
      <c r="C377" t="s">
        <v>1373</v>
      </c>
      <c r="D377" t="s">
        <v>44</v>
      </c>
      <c r="E377" s="1">
        <v>46055</v>
      </c>
      <c r="F377">
        <v>40</v>
      </c>
      <c r="G377">
        <v>1</v>
      </c>
      <c r="H377">
        <v>50</v>
      </c>
      <c r="I377">
        <v>4</v>
      </c>
      <c r="J377" t="s">
        <v>2951</v>
      </c>
      <c r="K377" t="s">
        <v>1959</v>
      </c>
      <c r="L377" t="s">
        <v>1124</v>
      </c>
      <c r="M377" s="3" t="str">
        <f>HYPERLINK("https://ovidsp.ovid.com/ovidweb.cgi?T=JS&amp;NEWS=n&amp;CSC=Y&amp;PAGE=toc&amp;D=yrovft&amp;AN=00006939-000000000-00000","https://ovidsp.ovid.com/ovidweb.cgi?T=JS&amp;NEWS=n&amp;CSC=Y&amp;PAGE=toc&amp;D=yrovft&amp;AN=00006939-000000000-00000")</f>
        <v>https://ovidsp.ovid.com/ovidweb.cgi?T=JS&amp;NEWS=n&amp;CSC=Y&amp;PAGE=toc&amp;D=yrovft&amp;AN=00006939-000000000-00000</v>
      </c>
      <c r="N377" t="s">
        <v>2999</v>
      </c>
      <c r="O377" t="s">
        <v>2151</v>
      </c>
      <c r="P377" t="s">
        <v>2431</v>
      </c>
      <c r="Q377">
        <v>1428052</v>
      </c>
      <c r="R377" t="s">
        <v>1862</v>
      </c>
      <c r="S377" t="s">
        <v>84</v>
      </c>
      <c r="T377" t="s">
        <v>2152</v>
      </c>
      <c r="U377" t="s">
        <v>2650</v>
      </c>
      <c r="V377" t="b">
        <v>1</v>
      </c>
      <c r="W377" t="s">
        <v>1667</v>
      </c>
      <c r="X377" t="b">
        <v>0</v>
      </c>
      <c r="Y377" t="s">
        <v>2022</v>
      </c>
      <c r="Z377" t="s">
        <v>478</v>
      </c>
      <c r="AA377" t="s">
        <v>192</v>
      </c>
      <c r="AB377" t="s">
        <v>192</v>
      </c>
    </row>
    <row r="378" spans="1:28" x14ac:dyDescent="0.3">
      <c r="A378" t="s">
        <v>2348</v>
      </c>
      <c r="B378" t="s">
        <v>2022</v>
      </c>
      <c r="C378" t="s">
        <v>923</v>
      </c>
      <c r="D378" t="s">
        <v>44</v>
      </c>
      <c r="E378" s="1">
        <v>46055</v>
      </c>
      <c r="F378">
        <v>33</v>
      </c>
      <c r="G378">
        <v>1</v>
      </c>
      <c r="H378">
        <v>44</v>
      </c>
      <c r="I378">
        <v>1</v>
      </c>
      <c r="J378" t="s">
        <v>672</v>
      </c>
      <c r="K378" t="s">
        <v>1959</v>
      </c>
      <c r="L378" t="s">
        <v>2919</v>
      </c>
      <c r="M378" s="3" t="str">
        <f>HYPERLINK("https://ovidsp.ovid.com/ovidweb.cgi?T=JS&amp;NEWS=n&amp;CSC=Y&amp;PAGE=toc&amp;D=yrovft&amp;AN=01893697-000000000-00000","https://ovidsp.ovid.com/ovidweb.cgi?T=JS&amp;NEWS=n&amp;CSC=Y&amp;PAGE=toc&amp;D=yrovft&amp;AN=01893697-000000000-00000")</f>
        <v>https://ovidsp.ovid.com/ovidweb.cgi?T=JS&amp;NEWS=n&amp;CSC=Y&amp;PAGE=toc&amp;D=yrovft&amp;AN=01893697-000000000-00000</v>
      </c>
      <c r="N378" t="s">
        <v>661</v>
      </c>
      <c r="O378" t="s">
        <v>2151</v>
      </c>
      <c r="P378" t="s">
        <v>2431</v>
      </c>
      <c r="Q378">
        <v>1428052</v>
      </c>
      <c r="R378" t="s">
        <v>666</v>
      </c>
      <c r="S378" t="s">
        <v>84</v>
      </c>
      <c r="T378" t="s">
        <v>2152</v>
      </c>
      <c r="U378" t="s">
        <v>795</v>
      </c>
      <c r="V378" t="b">
        <v>1</v>
      </c>
      <c r="W378" t="s">
        <v>1079</v>
      </c>
      <c r="X378" t="b">
        <v>0</v>
      </c>
      <c r="Y378" t="s">
        <v>2022</v>
      </c>
      <c r="Z378" t="s">
        <v>831</v>
      </c>
      <c r="AA378" t="s">
        <v>192</v>
      </c>
      <c r="AB378" t="s">
        <v>192</v>
      </c>
    </row>
    <row r="379" spans="1:28" x14ac:dyDescent="0.3">
      <c r="A379" t="s">
        <v>2794</v>
      </c>
      <c r="B379" t="s">
        <v>2610</v>
      </c>
      <c r="C379" t="s">
        <v>2799</v>
      </c>
      <c r="D379" t="s">
        <v>44</v>
      </c>
      <c r="E379" s="1">
        <v>46055</v>
      </c>
      <c r="F379">
        <v>1</v>
      </c>
      <c r="G379">
        <v>1</v>
      </c>
      <c r="H379">
        <v>9</v>
      </c>
      <c r="I379">
        <v>4</v>
      </c>
      <c r="J379" t="s">
        <v>930</v>
      </c>
      <c r="K379" t="s">
        <v>606</v>
      </c>
      <c r="L379" t="s">
        <v>2771</v>
      </c>
      <c r="M379" s="3" t="str">
        <f>HYPERLINK("https://ovidsp.ovid.com/ovidweb.cgi?T=JS&amp;NEWS=n&amp;CSC=Y&amp;PAGE=toc&amp;D=yrovft&amp;AN=02114886-000000000-00000","https://ovidsp.ovid.com/ovidweb.cgi?T=JS&amp;NEWS=n&amp;CSC=Y&amp;PAGE=toc&amp;D=yrovft&amp;AN=02114886-000000000-00000")</f>
        <v>https://ovidsp.ovid.com/ovidweb.cgi?T=JS&amp;NEWS=n&amp;CSC=Y&amp;PAGE=toc&amp;D=yrovft&amp;AN=02114886-000000000-00000</v>
      </c>
      <c r="N379" t="s">
        <v>342</v>
      </c>
      <c r="O379" t="s">
        <v>2151</v>
      </c>
      <c r="P379" t="s">
        <v>2431</v>
      </c>
      <c r="Q379">
        <v>1428052</v>
      </c>
      <c r="R379" t="s">
        <v>899</v>
      </c>
      <c r="S379" t="s">
        <v>84</v>
      </c>
      <c r="T379" t="s">
        <v>2152</v>
      </c>
      <c r="U379" t="s">
        <v>2080</v>
      </c>
      <c r="V379" t="b">
        <v>1</v>
      </c>
      <c r="W379" t="s">
        <v>2013</v>
      </c>
      <c r="X379" t="b">
        <v>0</v>
      </c>
      <c r="Y379" t="s">
        <v>2022</v>
      </c>
      <c r="Z379" t="s">
        <v>1351</v>
      </c>
      <c r="AA379" t="s">
        <v>192</v>
      </c>
      <c r="AB379" t="s">
        <v>192</v>
      </c>
    </row>
    <row r="380" spans="1:28" x14ac:dyDescent="0.3">
      <c r="A380" t="s">
        <v>262</v>
      </c>
      <c r="B380" t="s">
        <v>2870</v>
      </c>
      <c r="C380" t="s">
        <v>63</v>
      </c>
      <c r="D380" t="s">
        <v>44</v>
      </c>
      <c r="E380" s="1">
        <v>46055</v>
      </c>
      <c r="F380">
        <v>35</v>
      </c>
      <c r="G380">
        <v>1</v>
      </c>
      <c r="H380">
        <v>46</v>
      </c>
      <c r="I380">
        <v>2</v>
      </c>
      <c r="J380" t="s">
        <v>2585</v>
      </c>
      <c r="K380" t="s">
        <v>1959</v>
      </c>
      <c r="L380" t="s">
        <v>712</v>
      </c>
      <c r="M380" s="3" t="str">
        <f>HYPERLINK("https://ovidsp.ovid.com/ovidweb.cgi?T=JS&amp;NEWS=n&amp;CSC=Y&amp;PAGE=toc&amp;D=yrovft&amp;AN=00006982-000000000-00000","https://ovidsp.ovid.com/ovidweb.cgi?T=JS&amp;NEWS=n&amp;CSC=Y&amp;PAGE=toc&amp;D=yrovft&amp;AN=00006982-000000000-00000")</f>
        <v>https://ovidsp.ovid.com/ovidweb.cgi?T=JS&amp;NEWS=n&amp;CSC=Y&amp;PAGE=toc&amp;D=yrovft&amp;AN=00006982-000000000-00000</v>
      </c>
      <c r="N380" t="s">
        <v>2253</v>
      </c>
      <c r="O380" t="s">
        <v>2151</v>
      </c>
      <c r="P380" t="s">
        <v>2431</v>
      </c>
      <c r="Q380">
        <v>1428052</v>
      </c>
      <c r="R380" t="s">
        <v>1366</v>
      </c>
      <c r="S380" t="s">
        <v>84</v>
      </c>
      <c r="T380" t="s">
        <v>2152</v>
      </c>
      <c r="U380" t="s">
        <v>1370</v>
      </c>
      <c r="V380" t="b">
        <v>1</v>
      </c>
      <c r="W380" t="s">
        <v>2271</v>
      </c>
      <c r="X380" t="b">
        <v>0</v>
      </c>
      <c r="Y380" t="s">
        <v>2022</v>
      </c>
      <c r="Z380" t="s">
        <v>831</v>
      </c>
      <c r="AA380" t="s">
        <v>192</v>
      </c>
      <c r="AB380" t="s">
        <v>192</v>
      </c>
    </row>
    <row r="381" spans="1:28" x14ac:dyDescent="0.3">
      <c r="A381" t="s">
        <v>477</v>
      </c>
      <c r="B381" t="s">
        <v>2184</v>
      </c>
      <c r="C381" t="s">
        <v>2022</v>
      </c>
      <c r="D381" t="s">
        <v>44</v>
      </c>
      <c r="E381" s="1">
        <v>46055</v>
      </c>
      <c r="F381">
        <v>9</v>
      </c>
      <c r="G381">
        <v>1</v>
      </c>
      <c r="H381">
        <v>20</v>
      </c>
      <c r="I381">
        <v>1</v>
      </c>
      <c r="J381" t="s">
        <v>672</v>
      </c>
      <c r="K381" t="s">
        <v>1959</v>
      </c>
      <c r="L381" t="s">
        <v>2919</v>
      </c>
      <c r="M381" s="3" t="str">
        <f>HYPERLINK("https://ovidsp.ovid.com/ovidweb.cgi?T=JS&amp;NEWS=n&amp;CSC=Y&amp;PAGE=toc&amp;D=yrovft&amp;AN=01271216-000000000-00000","https://ovidsp.ovid.com/ovidweb.cgi?T=JS&amp;NEWS=n&amp;CSC=Y&amp;PAGE=toc&amp;D=yrovft&amp;AN=01271216-000000000-00000")</f>
        <v>https://ovidsp.ovid.com/ovidweb.cgi?T=JS&amp;NEWS=n&amp;CSC=Y&amp;PAGE=toc&amp;D=yrovft&amp;AN=01271216-000000000-00000</v>
      </c>
      <c r="N381" t="s">
        <v>2491</v>
      </c>
      <c r="O381" t="s">
        <v>2151</v>
      </c>
      <c r="P381" t="s">
        <v>2431</v>
      </c>
      <c r="Q381">
        <v>1428052</v>
      </c>
      <c r="R381" t="s">
        <v>2834</v>
      </c>
      <c r="S381" t="s">
        <v>84</v>
      </c>
      <c r="T381" t="s">
        <v>2152</v>
      </c>
      <c r="U381" t="s">
        <v>2425</v>
      </c>
      <c r="V381" t="b">
        <v>1</v>
      </c>
      <c r="W381" t="s">
        <v>1650</v>
      </c>
      <c r="X381" t="b">
        <v>0</v>
      </c>
      <c r="Y381" t="s">
        <v>2022</v>
      </c>
      <c r="Z381" t="s">
        <v>831</v>
      </c>
      <c r="AA381" t="s">
        <v>192</v>
      </c>
      <c r="AB381" t="s">
        <v>192</v>
      </c>
    </row>
    <row r="382" spans="1:28" x14ac:dyDescent="0.3">
      <c r="A382" t="s">
        <v>2139</v>
      </c>
      <c r="B382" t="s">
        <v>2924</v>
      </c>
      <c r="C382" t="s">
        <v>1559</v>
      </c>
      <c r="D382" t="s">
        <v>44</v>
      </c>
      <c r="E382" s="1">
        <v>46055</v>
      </c>
      <c r="F382">
        <v>33</v>
      </c>
      <c r="G382">
        <v>2</v>
      </c>
      <c r="H382">
        <v>37</v>
      </c>
      <c r="I382">
        <v>1</v>
      </c>
      <c r="J382" t="s">
        <v>1243</v>
      </c>
      <c r="K382" t="s">
        <v>1722</v>
      </c>
      <c r="L382" t="s">
        <v>2919</v>
      </c>
      <c r="M382" s="3" t="str">
        <f>HYPERLINK("https://ovidsp.ovid.com/ovidweb.cgi?T=JS&amp;NEWS=n&amp;CSC=Y&amp;PAGE=toc&amp;D=yrovft&amp;AN=02272794-000000000-00000","https://ovidsp.ovid.com/ovidweb.cgi?T=JS&amp;NEWS=n&amp;CSC=Y&amp;PAGE=toc&amp;D=yrovft&amp;AN=02272794-000000000-00000")</f>
        <v>https://ovidsp.ovid.com/ovidweb.cgi?T=JS&amp;NEWS=n&amp;CSC=Y&amp;PAGE=toc&amp;D=yrovft&amp;AN=02272794-000000000-00000</v>
      </c>
      <c r="N382" t="s">
        <v>3105</v>
      </c>
      <c r="O382" t="s">
        <v>2151</v>
      </c>
      <c r="P382" t="s">
        <v>2431</v>
      </c>
      <c r="Q382">
        <v>1428052</v>
      </c>
      <c r="R382" t="s">
        <v>574</v>
      </c>
      <c r="S382" t="s">
        <v>84</v>
      </c>
      <c r="T382" t="s">
        <v>2152</v>
      </c>
      <c r="U382" t="s">
        <v>1792</v>
      </c>
      <c r="V382" t="b">
        <v>1</v>
      </c>
      <c r="W382" t="s">
        <v>3083</v>
      </c>
      <c r="X382" t="b">
        <v>0</v>
      </c>
      <c r="Y382" t="s">
        <v>2022</v>
      </c>
      <c r="Z382" t="s">
        <v>2022</v>
      </c>
      <c r="AA382" t="s">
        <v>192</v>
      </c>
      <c r="AB382" t="s">
        <v>192</v>
      </c>
    </row>
    <row r="383" spans="1:28" x14ac:dyDescent="0.3">
      <c r="A383" t="s">
        <v>2555</v>
      </c>
      <c r="B383" t="s">
        <v>2924</v>
      </c>
      <c r="C383" t="s">
        <v>1559</v>
      </c>
      <c r="D383" t="s">
        <v>44</v>
      </c>
      <c r="E383" s="1">
        <v>46055</v>
      </c>
      <c r="F383">
        <v>26</v>
      </c>
      <c r="G383">
        <v>1</v>
      </c>
      <c r="H383">
        <v>33</v>
      </c>
      <c r="I383">
        <v>2</v>
      </c>
      <c r="J383" t="s">
        <v>2317</v>
      </c>
      <c r="K383" t="s">
        <v>1959</v>
      </c>
      <c r="L383" t="s">
        <v>1722</v>
      </c>
      <c r="M383" s="3" t="str">
        <f>HYPERLINK("https://ovidsp.ovid.com/ovidweb.cgi?T=JS&amp;NEWS=n&amp;CSC=Y&amp;PAGE=toc&amp;D=yrovft&amp;AN=00013542-000000000-00000","https://ovidsp.ovid.com/ovidweb.cgi?T=JS&amp;NEWS=n&amp;CSC=Y&amp;PAGE=toc&amp;D=yrovft&amp;AN=00013542-000000000-00000")</f>
        <v>https://ovidsp.ovid.com/ovidweb.cgi?T=JS&amp;NEWS=n&amp;CSC=Y&amp;PAGE=toc&amp;D=yrovft&amp;AN=00013542-000000000-00000</v>
      </c>
      <c r="N383" t="s">
        <v>1953</v>
      </c>
      <c r="O383" t="s">
        <v>2151</v>
      </c>
      <c r="P383" t="s">
        <v>2431</v>
      </c>
      <c r="Q383">
        <v>1428052</v>
      </c>
      <c r="R383" t="s">
        <v>232</v>
      </c>
      <c r="S383" t="s">
        <v>84</v>
      </c>
      <c r="T383" t="s">
        <v>2152</v>
      </c>
      <c r="U383" t="s">
        <v>1303</v>
      </c>
      <c r="V383" t="b">
        <v>0</v>
      </c>
      <c r="W383" t="s">
        <v>2022</v>
      </c>
      <c r="X383" t="b">
        <v>0</v>
      </c>
      <c r="Y383" t="s">
        <v>2022</v>
      </c>
      <c r="Z383" t="s">
        <v>1413</v>
      </c>
      <c r="AA383" t="s">
        <v>192</v>
      </c>
      <c r="AB383" t="s">
        <v>192</v>
      </c>
    </row>
    <row r="384" spans="1:28" x14ac:dyDescent="0.3">
      <c r="A384" t="s">
        <v>724</v>
      </c>
      <c r="B384" t="s">
        <v>1669</v>
      </c>
      <c r="C384" t="s">
        <v>507</v>
      </c>
      <c r="D384" t="s">
        <v>44</v>
      </c>
      <c r="E384" s="1">
        <v>46055</v>
      </c>
      <c r="F384">
        <v>1</v>
      </c>
      <c r="G384">
        <v>1</v>
      </c>
      <c r="H384">
        <v>3</v>
      </c>
      <c r="I384">
        <v>4</v>
      </c>
      <c r="J384" t="s">
        <v>1952</v>
      </c>
      <c r="K384" t="s">
        <v>2501</v>
      </c>
      <c r="L384" t="s">
        <v>2771</v>
      </c>
      <c r="M384" s="3" t="str">
        <f>HYPERLINK("https://ovidsp.ovid.com/ovidweb.cgi?T=JS&amp;NEWS=n&amp;CSC=Y&amp;PAGE=toc&amp;D=yrovft&amp;AN=02274272-000000000-00000","https://ovidsp.ovid.com/ovidweb.cgi?T=JS&amp;NEWS=n&amp;CSC=Y&amp;PAGE=toc&amp;D=yrovft&amp;AN=02274272-000000000-00000")</f>
        <v>https://ovidsp.ovid.com/ovidweb.cgi?T=JS&amp;NEWS=n&amp;CSC=Y&amp;PAGE=toc&amp;D=yrovft&amp;AN=02274272-000000000-00000</v>
      </c>
      <c r="N384" t="s">
        <v>954</v>
      </c>
      <c r="O384" t="s">
        <v>2151</v>
      </c>
      <c r="P384" t="s">
        <v>2431</v>
      </c>
      <c r="Q384">
        <v>1428052</v>
      </c>
      <c r="R384" t="s">
        <v>1305</v>
      </c>
      <c r="S384" t="s">
        <v>84</v>
      </c>
      <c r="T384" t="s">
        <v>2152</v>
      </c>
      <c r="U384" t="s">
        <v>725</v>
      </c>
      <c r="V384" t="b">
        <v>1</v>
      </c>
      <c r="W384" t="s">
        <v>1403</v>
      </c>
      <c r="X384" t="b">
        <v>0</v>
      </c>
      <c r="Y384" t="s">
        <v>2022</v>
      </c>
      <c r="Z384" t="s">
        <v>1154</v>
      </c>
      <c r="AA384" t="s">
        <v>192</v>
      </c>
      <c r="AB384" t="s">
        <v>192</v>
      </c>
    </row>
    <row r="385" spans="1:28" x14ac:dyDescent="0.3">
      <c r="A385" t="s">
        <v>1643</v>
      </c>
      <c r="B385" t="s">
        <v>852</v>
      </c>
      <c r="C385" t="s">
        <v>2754</v>
      </c>
      <c r="D385" t="s">
        <v>44</v>
      </c>
      <c r="E385" s="1">
        <v>46055</v>
      </c>
      <c r="F385">
        <v>42</v>
      </c>
      <c r="G385">
        <v>1</v>
      </c>
      <c r="H385">
        <v>53</v>
      </c>
      <c r="I385">
        <v>2</v>
      </c>
      <c r="J385" t="s">
        <v>2585</v>
      </c>
      <c r="K385" t="s">
        <v>1959</v>
      </c>
      <c r="L385" t="s">
        <v>712</v>
      </c>
      <c r="M385" s="3" t="str">
        <f>HYPERLINK("https://ovidsp.ovid.com/ovidweb.cgi?T=JS&amp;NEWS=n&amp;CSC=Y&amp;PAGE=toc&amp;D=yrovft&amp;AN=00007435-000000000-00000","https://ovidsp.ovid.com/ovidweb.cgi?T=JS&amp;NEWS=n&amp;CSC=Y&amp;PAGE=toc&amp;D=yrovft&amp;AN=00007435-000000000-00000")</f>
        <v>https://ovidsp.ovid.com/ovidweb.cgi?T=JS&amp;NEWS=n&amp;CSC=Y&amp;PAGE=toc&amp;D=yrovft&amp;AN=00007435-000000000-00000</v>
      </c>
      <c r="N385" t="s">
        <v>2787</v>
      </c>
      <c r="O385" t="s">
        <v>2151</v>
      </c>
      <c r="P385" t="s">
        <v>2431</v>
      </c>
      <c r="Q385">
        <v>1428052</v>
      </c>
      <c r="R385" t="s">
        <v>1359</v>
      </c>
      <c r="S385" t="s">
        <v>84</v>
      </c>
      <c r="T385" t="s">
        <v>2152</v>
      </c>
      <c r="U385" t="s">
        <v>2584</v>
      </c>
      <c r="V385" t="b">
        <v>1</v>
      </c>
      <c r="W385" t="s">
        <v>2489</v>
      </c>
      <c r="X385" t="b">
        <v>0</v>
      </c>
      <c r="Y385" t="s">
        <v>2022</v>
      </c>
      <c r="Z385" t="s">
        <v>303</v>
      </c>
      <c r="AA385" t="s">
        <v>192</v>
      </c>
      <c r="AB385" t="s">
        <v>192</v>
      </c>
    </row>
    <row r="386" spans="1:28" x14ac:dyDescent="0.3">
      <c r="A386" t="s">
        <v>1638</v>
      </c>
      <c r="B386" t="s">
        <v>2022</v>
      </c>
      <c r="C386" t="s">
        <v>2188</v>
      </c>
      <c r="D386" t="s">
        <v>44</v>
      </c>
      <c r="E386" s="1">
        <v>46055</v>
      </c>
      <c r="F386">
        <v>43</v>
      </c>
      <c r="G386">
        <v>1</v>
      </c>
      <c r="H386">
        <v>65</v>
      </c>
      <c r="I386">
        <v>1</v>
      </c>
      <c r="J386" t="s">
        <v>672</v>
      </c>
      <c r="K386" t="s">
        <v>1959</v>
      </c>
      <c r="L386" t="s">
        <v>2919</v>
      </c>
      <c r="M386" s="3" t="str">
        <f>HYPERLINK("https://ovidsp.ovid.com/ovidweb.cgi?T=JS&amp;NEWS=n&amp;CSC=Y&amp;PAGE=toc&amp;D=yrovft&amp;AN=00024382-000000000-00000","https://ovidsp.ovid.com/ovidweb.cgi?T=JS&amp;NEWS=n&amp;CSC=Y&amp;PAGE=toc&amp;D=yrovft&amp;AN=00024382-000000000-00000")</f>
        <v>https://ovidsp.ovid.com/ovidweb.cgi?T=JS&amp;NEWS=n&amp;CSC=Y&amp;PAGE=toc&amp;D=yrovft&amp;AN=00024382-000000000-00000</v>
      </c>
      <c r="N386" t="s">
        <v>515</v>
      </c>
      <c r="O386" t="s">
        <v>2151</v>
      </c>
      <c r="P386" t="s">
        <v>2431</v>
      </c>
      <c r="Q386">
        <v>1428052</v>
      </c>
      <c r="R386" t="s">
        <v>2709</v>
      </c>
      <c r="S386" t="s">
        <v>84</v>
      </c>
      <c r="T386" t="s">
        <v>2152</v>
      </c>
      <c r="U386" t="s">
        <v>1888</v>
      </c>
      <c r="V386" t="b">
        <v>1</v>
      </c>
      <c r="W386" t="s">
        <v>181</v>
      </c>
      <c r="X386" t="b">
        <v>0</v>
      </c>
      <c r="Y386" t="s">
        <v>2022</v>
      </c>
      <c r="Z386" t="s">
        <v>831</v>
      </c>
      <c r="AA386" t="s">
        <v>192</v>
      </c>
      <c r="AB386" t="s">
        <v>192</v>
      </c>
    </row>
    <row r="387" spans="1:28" x14ac:dyDescent="0.3">
      <c r="A387" t="s">
        <v>1527</v>
      </c>
      <c r="B387" t="s">
        <v>1635</v>
      </c>
      <c r="C387" t="s">
        <v>1860</v>
      </c>
      <c r="D387" t="s">
        <v>44</v>
      </c>
      <c r="E387" s="1">
        <v>46055</v>
      </c>
      <c r="F387">
        <v>10</v>
      </c>
      <c r="G387">
        <v>1</v>
      </c>
      <c r="H387">
        <v>21</v>
      </c>
      <c r="I387">
        <v>1</v>
      </c>
      <c r="J387" t="s">
        <v>1878</v>
      </c>
      <c r="K387" t="s">
        <v>1525</v>
      </c>
      <c r="L387" t="s">
        <v>712</v>
      </c>
      <c r="M387" s="3" t="str">
        <f>HYPERLINK("https://ovidsp.ovid.com/ovidweb.cgi?T=JS&amp;NEWS=n&amp;CSC=Y&amp;PAGE=toc&amp;D=yrovft&amp;AN=01266021-000000000-00000","https://ovidsp.ovid.com/ovidweb.cgi?T=JS&amp;NEWS=n&amp;CSC=Y&amp;PAGE=toc&amp;D=yrovft&amp;AN=01266021-000000000-00000")</f>
        <v>https://ovidsp.ovid.com/ovidweb.cgi?T=JS&amp;NEWS=n&amp;CSC=Y&amp;PAGE=toc&amp;D=yrovft&amp;AN=01266021-000000000-00000</v>
      </c>
      <c r="N387" t="s">
        <v>2254</v>
      </c>
      <c r="O387" t="s">
        <v>2151</v>
      </c>
      <c r="P387" t="s">
        <v>2431</v>
      </c>
      <c r="Q387">
        <v>1428052</v>
      </c>
      <c r="R387" t="s">
        <v>311</v>
      </c>
      <c r="S387" t="s">
        <v>84</v>
      </c>
      <c r="T387" t="s">
        <v>2152</v>
      </c>
      <c r="U387" t="s">
        <v>234</v>
      </c>
      <c r="V387" t="b">
        <v>1</v>
      </c>
      <c r="W387" t="s">
        <v>998</v>
      </c>
      <c r="X387" t="b">
        <v>0</v>
      </c>
      <c r="Y387" t="s">
        <v>2022</v>
      </c>
      <c r="Z387" t="s">
        <v>2376</v>
      </c>
      <c r="AA387" t="s">
        <v>192</v>
      </c>
      <c r="AB387" t="s">
        <v>192</v>
      </c>
    </row>
    <row r="388" spans="1:28" x14ac:dyDescent="0.3">
      <c r="A388" t="s">
        <v>470</v>
      </c>
      <c r="B388" t="s">
        <v>1033</v>
      </c>
      <c r="C388" t="s">
        <v>1025</v>
      </c>
      <c r="D388" t="s">
        <v>44</v>
      </c>
      <c r="E388" s="1">
        <v>46055</v>
      </c>
      <c r="F388">
        <v>161</v>
      </c>
      <c r="G388">
        <v>1</v>
      </c>
      <c r="H388">
        <v>184</v>
      </c>
      <c r="I388">
        <v>3</v>
      </c>
      <c r="J388" t="s">
        <v>792</v>
      </c>
      <c r="K388" t="s">
        <v>1858</v>
      </c>
      <c r="L388" t="s">
        <v>1088</v>
      </c>
      <c r="M388" s="3" t="str">
        <f>HYPERLINK("https://ovidsp.ovid.com/ovidweb.cgi?T=JS&amp;NEWS=n&amp;CSC=Y&amp;PAGE=toc&amp;D=yrovft&amp;AN=00010694-000000000-00000","https://ovidsp.ovid.com/ovidweb.cgi?T=JS&amp;NEWS=n&amp;CSC=Y&amp;PAGE=toc&amp;D=yrovft&amp;AN=00010694-000000000-00000")</f>
        <v>https://ovidsp.ovid.com/ovidweb.cgi?T=JS&amp;NEWS=n&amp;CSC=Y&amp;PAGE=toc&amp;D=yrovft&amp;AN=00010694-000000000-00000</v>
      </c>
      <c r="N388" t="s">
        <v>1062</v>
      </c>
      <c r="O388" t="s">
        <v>2151</v>
      </c>
      <c r="P388" t="s">
        <v>2431</v>
      </c>
      <c r="Q388">
        <v>1428052</v>
      </c>
      <c r="R388" t="s">
        <v>3040</v>
      </c>
      <c r="S388" t="s">
        <v>84</v>
      </c>
      <c r="T388" t="s">
        <v>2152</v>
      </c>
      <c r="U388" t="s">
        <v>2606</v>
      </c>
      <c r="V388" t="b">
        <v>0</v>
      </c>
      <c r="W388" t="s">
        <v>2022</v>
      </c>
      <c r="X388" t="b">
        <v>0</v>
      </c>
      <c r="Y388" t="s">
        <v>2022</v>
      </c>
      <c r="Z388" t="s">
        <v>1183</v>
      </c>
      <c r="AA388" t="s">
        <v>192</v>
      </c>
      <c r="AB388" t="s">
        <v>192</v>
      </c>
    </row>
    <row r="389" spans="1:28" x14ac:dyDescent="0.3">
      <c r="A389" t="s">
        <v>1969</v>
      </c>
      <c r="B389" t="s">
        <v>2967</v>
      </c>
      <c r="C389" t="s">
        <v>3003</v>
      </c>
      <c r="D389" t="s">
        <v>44</v>
      </c>
      <c r="E389" s="1">
        <v>46055</v>
      </c>
      <c r="F389">
        <v>108</v>
      </c>
      <c r="G389">
        <v>1</v>
      </c>
      <c r="H389">
        <v>119</v>
      </c>
      <c r="I389">
        <v>1</v>
      </c>
      <c r="J389" t="s">
        <v>672</v>
      </c>
      <c r="K389" t="s">
        <v>1959</v>
      </c>
      <c r="L389" t="s">
        <v>2919</v>
      </c>
      <c r="M389" s="3" t="str">
        <f>HYPERLINK("https://ovidsp.ovid.com/ovidweb.cgi?T=JS&amp;NEWS=n&amp;CSC=Y&amp;PAGE=toc&amp;D=yrovft&amp;AN=00007611-000000000-00000","https://ovidsp.ovid.com/ovidweb.cgi?T=JS&amp;NEWS=n&amp;CSC=Y&amp;PAGE=toc&amp;D=yrovft&amp;AN=00007611-000000000-00000")</f>
        <v>https://ovidsp.ovid.com/ovidweb.cgi?T=JS&amp;NEWS=n&amp;CSC=Y&amp;PAGE=toc&amp;D=yrovft&amp;AN=00007611-000000000-00000</v>
      </c>
      <c r="N389" t="s">
        <v>2022</v>
      </c>
      <c r="O389" t="s">
        <v>2151</v>
      </c>
      <c r="P389" t="s">
        <v>2431</v>
      </c>
      <c r="Q389">
        <v>1428052</v>
      </c>
      <c r="R389" t="s">
        <v>448</v>
      </c>
      <c r="S389" t="s">
        <v>84</v>
      </c>
      <c r="T389" t="s">
        <v>2152</v>
      </c>
      <c r="U389" t="s">
        <v>673</v>
      </c>
      <c r="V389" t="b">
        <v>0</v>
      </c>
      <c r="W389" t="s">
        <v>2022</v>
      </c>
      <c r="X389" t="b">
        <v>0</v>
      </c>
      <c r="Y389" t="s">
        <v>2022</v>
      </c>
      <c r="Z389" t="s">
        <v>2440</v>
      </c>
      <c r="AA389" t="s">
        <v>192</v>
      </c>
      <c r="AB389" t="s">
        <v>192</v>
      </c>
    </row>
    <row r="390" spans="1:28" x14ac:dyDescent="0.3">
      <c r="A390" t="s">
        <v>102</v>
      </c>
      <c r="B390" t="s">
        <v>2179</v>
      </c>
      <c r="C390" t="s">
        <v>443</v>
      </c>
      <c r="D390" t="s">
        <v>44</v>
      </c>
      <c r="E390" s="1">
        <v>46055</v>
      </c>
      <c r="F390">
        <v>40</v>
      </c>
      <c r="G390">
        <v>1</v>
      </c>
      <c r="H390">
        <v>51</v>
      </c>
      <c r="I390">
        <v>4</v>
      </c>
      <c r="J390" t="s">
        <v>1807</v>
      </c>
      <c r="K390" t="s">
        <v>1959</v>
      </c>
      <c r="L390" t="s">
        <v>2032</v>
      </c>
      <c r="M390" s="3" t="str">
        <f>HYPERLINK("https://ovidsp.ovid.com/ovidweb.cgi?T=JS&amp;NEWS=n&amp;CSC=Y&amp;PAGE=toc&amp;D=yrovft&amp;AN=00007632-000000000-00000","https://ovidsp.ovid.com/ovidweb.cgi?T=JS&amp;NEWS=n&amp;CSC=Y&amp;PAGE=toc&amp;D=yrovft&amp;AN=00007632-000000000-00000")</f>
        <v>https://ovidsp.ovid.com/ovidweb.cgi?T=JS&amp;NEWS=n&amp;CSC=Y&amp;PAGE=toc&amp;D=yrovft&amp;AN=00007632-000000000-00000</v>
      </c>
      <c r="N390" t="s">
        <v>628</v>
      </c>
      <c r="O390" t="s">
        <v>2151</v>
      </c>
      <c r="P390" t="s">
        <v>2431</v>
      </c>
      <c r="Q390">
        <v>1428052</v>
      </c>
      <c r="R390" t="s">
        <v>2299</v>
      </c>
      <c r="S390" t="s">
        <v>84</v>
      </c>
      <c r="T390" t="s">
        <v>2152</v>
      </c>
      <c r="U390" t="s">
        <v>1258</v>
      </c>
      <c r="V390" t="b">
        <v>1</v>
      </c>
      <c r="W390" t="s">
        <v>117</v>
      </c>
      <c r="X390" t="b">
        <v>0</v>
      </c>
      <c r="Y390" t="s">
        <v>2022</v>
      </c>
      <c r="Z390" t="s">
        <v>831</v>
      </c>
      <c r="AA390" t="s">
        <v>192</v>
      </c>
      <c r="AB390" t="s">
        <v>192</v>
      </c>
    </row>
    <row r="391" spans="1:28" x14ac:dyDescent="0.3">
      <c r="A391" t="s">
        <v>2289</v>
      </c>
      <c r="B391" t="s">
        <v>2022</v>
      </c>
      <c r="C391" t="s">
        <v>2382</v>
      </c>
      <c r="D391" t="s">
        <v>44</v>
      </c>
      <c r="E391" s="1">
        <v>46055</v>
      </c>
      <c r="F391">
        <v>1</v>
      </c>
      <c r="G391">
        <v>1</v>
      </c>
      <c r="H391">
        <v>2</v>
      </c>
      <c r="I391">
        <v>1</v>
      </c>
      <c r="J391" t="s">
        <v>772</v>
      </c>
      <c r="K391" t="s">
        <v>870</v>
      </c>
      <c r="L391" t="s">
        <v>2441</v>
      </c>
      <c r="M391" s="3" t="str">
        <f>HYPERLINK("https://ovidsp.ovid.com/ovidweb.cgi?T=JS&amp;NEWS=n&amp;CSC=Y&amp;PAGE=toc&amp;D=yrovft&amp;AN=02276750-000000000-00000","https://ovidsp.ovid.com/ovidweb.cgi?T=JS&amp;NEWS=n&amp;CSC=Y&amp;PAGE=toc&amp;D=yrovft&amp;AN=02276750-000000000-00000")</f>
        <v>https://ovidsp.ovid.com/ovidweb.cgi?T=JS&amp;NEWS=n&amp;CSC=Y&amp;PAGE=toc&amp;D=yrovft&amp;AN=02276750-000000000-00000</v>
      </c>
      <c r="N391" t="s">
        <v>2022</v>
      </c>
      <c r="O391" t="s">
        <v>2151</v>
      </c>
      <c r="P391" t="s">
        <v>2431</v>
      </c>
      <c r="Q391">
        <v>1428052</v>
      </c>
      <c r="R391" t="s">
        <v>2401</v>
      </c>
      <c r="S391" t="s">
        <v>84</v>
      </c>
      <c r="T391" t="s">
        <v>2152</v>
      </c>
      <c r="U391" t="s">
        <v>837</v>
      </c>
      <c r="V391" t="b">
        <v>0</v>
      </c>
      <c r="W391" t="s">
        <v>2022</v>
      </c>
      <c r="X391" t="b">
        <v>0</v>
      </c>
      <c r="Y391" t="s">
        <v>2022</v>
      </c>
      <c r="Z391" t="s">
        <v>1464</v>
      </c>
      <c r="AA391" t="s">
        <v>192</v>
      </c>
      <c r="AB391" t="s">
        <v>192</v>
      </c>
    </row>
    <row r="392" spans="1:28" x14ac:dyDescent="0.3">
      <c r="A392" t="s">
        <v>2395</v>
      </c>
      <c r="B392" t="s">
        <v>2022</v>
      </c>
      <c r="C392" t="s">
        <v>1166</v>
      </c>
      <c r="D392" t="s">
        <v>44</v>
      </c>
      <c r="E392" s="1">
        <v>46055</v>
      </c>
      <c r="F392">
        <v>1</v>
      </c>
      <c r="G392">
        <v>1</v>
      </c>
      <c r="H392">
        <v>1</v>
      </c>
      <c r="I392">
        <v>3</v>
      </c>
      <c r="J392" t="s">
        <v>2325</v>
      </c>
      <c r="K392" t="s">
        <v>1378</v>
      </c>
      <c r="L392" t="s">
        <v>2771</v>
      </c>
      <c r="M392" s="3" t="str">
        <f>HYPERLINK("https://ovidsp.ovid.com/ovidweb.cgi?T=JS&amp;NEWS=n&amp;CSC=Y&amp;PAGE=toc&amp;D=yrovft&amp;AN=02276383-000000000-00000","https://ovidsp.ovid.com/ovidweb.cgi?T=JS&amp;NEWS=n&amp;CSC=Y&amp;PAGE=toc&amp;D=yrovft&amp;AN=02276383-000000000-00000")</f>
        <v>https://ovidsp.ovid.com/ovidweb.cgi?T=JS&amp;NEWS=n&amp;CSC=Y&amp;PAGE=toc&amp;D=yrovft&amp;AN=02276383-000000000-00000</v>
      </c>
      <c r="N392" t="s">
        <v>2022</v>
      </c>
      <c r="O392" t="s">
        <v>2151</v>
      </c>
      <c r="P392" t="s">
        <v>2431</v>
      </c>
      <c r="Q392">
        <v>1428052</v>
      </c>
      <c r="R392" t="s">
        <v>449</v>
      </c>
      <c r="S392" t="s">
        <v>84</v>
      </c>
      <c r="T392" t="s">
        <v>2152</v>
      </c>
      <c r="U392" t="s">
        <v>597</v>
      </c>
      <c r="V392" t="b">
        <v>1</v>
      </c>
      <c r="W392" t="s">
        <v>1982</v>
      </c>
      <c r="X392" t="b">
        <v>0</v>
      </c>
      <c r="Y392" t="s">
        <v>2022</v>
      </c>
      <c r="Z392" t="s">
        <v>1351</v>
      </c>
      <c r="AA392" t="s">
        <v>192</v>
      </c>
      <c r="AB392" t="s">
        <v>192</v>
      </c>
    </row>
    <row r="393" spans="1:28" x14ac:dyDescent="0.3">
      <c r="A393" t="s">
        <v>45</v>
      </c>
      <c r="B393" t="s">
        <v>1794</v>
      </c>
      <c r="C393" t="s">
        <v>2022</v>
      </c>
      <c r="D393" t="s">
        <v>44</v>
      </c>
      <c r="E393" s="1">
        <v>46055</v>
      </c>
      <c r="F393">
        <v>0</v>
      </c>
      <c r="G393">
        <v>0</v>
      </c>
      <c r="H393">
        <v>0</v>
      </c>
      <c r="I393">
        <v>0</v>
      </c>
      <c r="J393" t="s">
        <v>1988</v>
      </c>
      <c r="K393" t="s">
        <v>1677</v>
      </c>
      <c r="L393" t="s">
        <v>776</v>
      </c>
      <c r="M393" s="3" t="str">
        <f>HYPERLINK("https://ovidsp.ovid.com/ovidweb.cgi?T=JS&amp;NEWS=n&amp;CSC=Y&amp;PAGE=toc&amp;D=yrovft&amp;AN=00152232-000000000-00000","https://ovidsp.ovid.com/ovidweb.cgi?T=JS&amp;NEWS=n&amp;CSC=Y&amp;PAGE=toc&amp;D=yrovft&amp;AN=00152232-000000000-00000")</f>
        <v>https://ovidsp.ovid.com/ovidweb.cgi?T=JS&amp;NEWS=n&amp;CSC=Y&amp;PAGE=toc&amp;D=yrovft&amp;AN=00152232-000000000-00000</v>
      </c>
      <c r="N393" t="s">
        <v>1139</v>
      </c>
      <c r="O393" t="s">
        <v>2151</v>
      </c>
      <c r="P393" t="s">
        <v>2431</v>
      </c>
      <c r="Q393">
        <v>1428052</v>
      </c>
      <c r="R393" t="s">
        <v>444</v>
      </c>
      <c r="S393" t="s">
        <v>84</v>
      </c>
      <c r="T393" t="s">
        <v>2152</v>
      </c>
      <c r="U393" t="s">
        <v>2292</v>
      </c>
      <c r="V393" t="b">
        <v>0</v>
      </c>
      <c r="W393" t="s">
        <v>2022</v>
      </c>
      <c r="X393" t="b">
        <v>0</v>
      </c>
      <c r="Y393" t="s">
        <v>2022</v>
      </c>
      <c r="Z393" t="s">
        <v>1351</v>
      </c>
      <c r="AA393" t="s">
        <v>192</v>
      </c>
      <c r="AB393" t="s">
        <v>192</v>
      </c>
    </row>
    <row r="394" spans="1:28" x14ac:dyDescent="0.3">
      <c r="A394" t="s">
        <v>1899</v>
      </c>
      <c r="B394" t="s">
        <v>1730</v>
      </c>
      <c r="C394" t="s">
        <v>1201</v>
      </c>
      <c r="D394" t="s">
        <v>44</v>
      </c>
      <c r="E394" s="1">
        <v>46055</v>
      </c>
      <c r="F394">
        <v>23</v>
      </c>
      <c r="G394">
        <v>1</v>
      </c>
      <c r="H394">
        <v>34</v>
      </c>
      <c r="I394">
        <v>1</v>
      </c>
      <c r="J394" t="s">
        <v>1570</v>
      </c>
      <c r="K394" t="s">
        <v>2249</v>
      </c>
      <c r="L394" t="s">
        <v>2441</v>
      </c>
      <c r="M394" s="3" t="str">
        <f>HYPERLINK("https://ovidsp.ovid.com/ovidweb.cgi?T=JS&amp;NEWS=n&amp;CSC=Y&amp;PAGE=toc&amp;D=yrovft&amp;AN=00132585-000000000-00000","https://ovidsp.ovid.com/ovidweb.cgi?T=JS&amp;NEWS=n&amp;CSC=Y&amp;PAGE=toc&amp;D=yrovft&amp;AN=00132585-000000000-00000")</f>
        <v>https://ovidsp.ovid.com/ovidweb.cgi?T=JS&amp;NEWS=n&amp;CSC=Y&amp;PAGE=toc&amp;D=yrovft&amp;AN=00132585-000000000-00000</v>
      </c>
      <c r="N394" t="s">
        <v>1090</v>
      </c>
      <c r="O394" t="s">
        <v>2151</v>
      </c>
      <c r="P394" t="s">
        <v>2431</v>
      </c>
      <c r="Q394">
        <v>1428052</v>
      </c>
      <c r="R394" t="s">
        <v>3150</v>
      </c>
      <c r="S394" t="s">
        <v>84</v>
      </c>
      <c r="T394" t="s">
        <v>2152</v>
      </c>
      <c r="U394" t="s">
        <v>415</v>
      </c>
      <c r="V394" t="b">
        <v>1</v>
      </c>
      <c r="W394" t="s">
        <v>1430</v>
      </c>
      <c r="X394" t="b">
        <v>0</v>
      </c>
      <c r="Y394" t="s">
        <v>2022</v>
      </c>
      <c r="Z394" t="s">
        <v>831</v>
      </c>
      <c r="AA394" t="s">
        <v>192</v>
      </c>
      <c r="AB394" t="s">
        <v>192</v>
      </c>
    </row>
    <row r="395" spans="1:28" x14ac:dyDescent="0.3">
      <c r="A395" t="s">
        <v>608</v>
      </c>
      <c r="B395" t="s">
        <v>2708</v>
      </c>
      <c r="C395" t="s">
        <v>3012</v>
      </c>
      <c r="D395" t="s">
        <v>44</v>
      </c>
      <c r="E395" s="1">
        <v>46055</v>
      </c>
      <c r="F395">
        <v>37</v>
      </c>
      <c r="G395">
        <v>1</v>
      </c>
      <c r="H395">
        <v>47</v>
      </c>
      <c r="I395">
        <v>6</v>
      </c>
      <c r="J395" t="s">
        <v>1458</v>
      </c>
      <c r="K395" t="s">
        <v>1525</v>
      </c>
      <c r="L395" t="s">
        <v>2771</v>
      </c>
      <c r="M395" s="3" t="str">
        <f>HYPERLINK("https://ovidsp.ovid.com/ovidweb.cgi?T=JS&amp;NEWS=n&amp;CSC=Y&amp;PAGE=toc&amp;D=yrovft&amp;AN=00126548-000000000-00000","https://ovidsp.ovid.com/ovidweb.cgi?T=JS&amp;NEWS=n&amp;CSC=Y&amp;PAGE=toc&amp;D=yrovft&amp;AN=00126548-000000000-00000")</f>
        <v>https://ovidsp.ovid.com/ovidweb.cgi?T=JS&amp;NEWS=n&amp;CSC=Y&amp;PAGE=toc&amp;D=yrovft&amp;AN=00126548-000000000-00000</v>
      </c>
      <c r="N395" t="s">
        <v>848</v>
      </c>
      <c r="O395" t="s">
        <v>2151</v>
      </c>
      <c r="P395" t="s">
        <v>2431</v>
      </c>
      <c r="Q395">
        <v>1428052</v>
      </c>
      <c r="R395" t="s">
        <v>2166</v>
      </c>
      <c r="S395" t="s">
        <v>84</v>
      </c>
      <c r="T395" t="s">
        <v>2152</v>
      </c>
      <c r="U395" t="s">
        <v>714</v>
      </c>
      <c r="V395" t="b">
        <v>1</v>
      </c>
      <c r="W395" t="s">
        <v>1579</v>
      </c>
      <c r="X395" t="b">
        <v>0</v>
      </c>
      <c r="Y395" t="s">
        <v>2022</v>
      </c>
      <c r="Z395" t="s">
        <v>831</v>
      </c>
      <c r="AA395" t="s">
        <v>192</v>
      </c>
      <c r="AB395" t="s">
        <v>192</v>
      </c>
    </row>
    <row r="396" spans="1:28" x14ac:dyDescent="0.3">
      <c r="A396" t="s">
        <v>2899</v>
      </c>
      <c r="B396" t="s">
        <v>2542</v>
      </c>
      <c r="C396" t="s">
        <v>2022</v>
      </c>
      <c r="D396" t="s">
        <v>44</v>
      </c>
      <c r="E396" s="1">
        <v>46055</v>
      </c>
      <c r="F396">
        <v>46</v>
      </c>
      <c r="G396">
        <v>1</v>
      </c>
      <c r="H396">
        <v>57</v>
      </c>
      <c r="I396" t="s">
        <v>1108</v>
      </c>
      <c r="J396" t="s">
        <v>2585</v>
      </c>
      <c r="K396" t="s">
        <v>1959</v>
      </c>
      <c r="L396" t="s">
        <v>712</v>
      </c>
      <c r="M396" s="3" t="str">
        <f>HYPERLINK("https://ovidsp.ovid.com/ovidweb.cgi?T=JS&amp;NEWS=n&amp;CSC=Y&amp;PAGE=toc&amp;D=yrovft&amp;AN=00007670-000000000-00000","https://ovidsp.ovid.com/ovidweb.cgi?T=JS&amp;NEWS=n&amp;CSC=Y&amp;PAGE=toc&amp;D=yrovft&amp;AN=00007670-000000000-00000")</f>
        <v>https://ovidsp.ovid.com/ovidweb.cgi?T=JS&amp;NEWS=n&amp;CSC=Y&amp;PAGE=toc&amp;D=yrovft&amp;AN=00007670-000000000-00000</v>
      </c>
      <c r="N396" t="s">
        <v>557</v>
      </c>
      <c r="O396" t="s">
        <v>2151</v>
      </c>
      <c r="P396" t="s">
        <v>2431</v>
      </c>
      <c r="Q396">
        <v>1428052</v>
      </c>
      <c r="R396" t="s">
        <v>2290</v>
      </c>
      <c r="S396" t="s">
        <v>84</v>
      </c>
      <c r="T396" t="s">
        <v>2152</v>
      </c>
      <c r="U396" t="s">
        <v>3009</v>
      </c>
      <c r="V396" t="b">
        <v>1</v>
      </c>
      <c r="W396" t="s">
        <v>2521</v>
      </c>
      <c r="X396" t="b">
        <v>0</v>
      </c>
      <c r="Y396" t="s">
        <v>2022</v>
      </c>
      <c r="Z396" t="s">
        <v>1351</v>
      </c>
      <c r="AA396" t="s">
        <v>192</v>
      </c>
      <c r="AB396" t="s">
        <v>192</v>
      </c>
    </row>
    <row r="397" spans="1:28" x14ac:dyDescent="0.3">
      <c r="A397" t="s">
        <v>212</v>
      </c>
      <c r="B397" t="s">
        <v>2022</v>
      </c>
      <c r="C397" t="s">
        <v>1821</v>
      </c>
      <c r="D397" t="s">
        <v>44</v>
      </c>
      <c r="E397" s="1">
        <v>46055</v>
      </c>
      <c r="F397">
        <v>1</v>
      </c>
      <c r="G397">
        <v>1</v>
      </c>
      <c r="H397">
        <v>6</v>
      </c>
      <c r="I397">
        <v>1</v>
      </c>
      <c r="J397" t="s">
        <v>1255</v>
      </c>
      <c r="K397" t="s">
        <v>2723</v>
      </c>
      <c r="L397" t="s">
        <v>2919</v>
      </c>
      <c r="M397" s="3" t="str">
        <f>HYPERLINK("https://ovidsp.ovid.com/ovidweb.cgi?T=JS&amp;NEWS=n&amp;CSC=Y&amp;PAGE=toc&amp;D=yrovft&amp;AN=02273800-000000000-00000","https://ovidsp.ovid.com/ovidweb.cgi?T=JS&amp;NEWS=n&amp;CSC=Y&amp;PAGE=toc&amp;D=yrovft&amp;AN=02273800-000000000-00000")</f>
        <v>https://ovidsp.ovid.com/ovidweb.cgi?T=JS&amp;NEWS=n&amp;CSC=Y&amp;PAGE=toc&amp;D=yrovft&amp;AN=02273800-000000000-00000</v>
      </c>
      <c r="N397" t="s">
        <v>2022</v>
      </c>
      <c r="O397" t="s">
        <v>2151</v>
      </c>
      <c r="P397" t="s">
        <v>2431</v>
      </c>
      <c r="Q397">
        <v>1428052</v>
      </c>
      <c r="R397" t="s">
        <v>354</v>
      </c>
      <c r="S397" t="s">
        <v>84</v>
      </c>
      <c r="T397" t="s">
        <v>2152</v>
      </c>
      <c r="U397" t="s">
        <v>1141</v>
      </c>
      <c r="V397" t="b">
        <v>1</v>
      </c>
      <c r="W397" t="s">
        <v>1465</v>
      </c>
      <c r="X397" t="b">
        <v>0</v>
      </c>
      <c r="Y397" t="s">
        <v>2022</v>
      </c>
      <c r="Z397" t="s">
        <v>1351</v>
      </c>
      <c r="AA397" t="s">
        <v>192</v>
      </c>
      <c r="AB397" t="s">
        <v>192</v>
      </c>
    </row>
    <row r="398" spans="1:28" x14ac:dyDescent="0.3">
      <c r="A398" t="s">
        <v>1125</v>
      </c>
      <c r="B398" t="s">
        <v>2022</v>
      </c>
      <c r="C398" t="s">
        <v>1766</v>
      </c>
      <c r="D398" t="s">
        <v>44</v>
      </c>
      <c r="E398" s="1">
        <v>46055</v>
      </c>
      <c r="F398">
        <v>25</v>
      </c>
      <c r="G398">
        <v>1</v>
      </c>
      <c r="H398">
        <v>35</v>
      </c>
      <c r="I398">
        <v>6</v>
      </c>
      <c r="J398" t="s">
        <v>1458</v>
      </c>
      <c r="K398" t="s">
        <v>1525</v>
      </c>
      <c r="L398" t="s">
        <v>2771</v>
      </c>
      <c r="M398" s="3" t="str">
        <f>HYPERLINK("https://ovidsp.ovid.com/ovidweb.cgi?T=JS&amp;NEWS=n&amp;CSC=Y&amp;PAGE=toc&amp;D=yrovft&amp;AN=00129689-000000000-00000","https://ovidsp.ovid.com/ovidweb.cgi?T=JS&amp;NEWS=n&amp;CSC=Y&amp;PAGE=toc&amp;D=yrovft&amp;AN=00129689-000000000-00000")</f>
        <v>https://ovidsp.ovid.com/ovidweb.cgi?T=JS&amp;NEWS=n&amp;CSC=Y&amp;PAGE=toc&amp;D=yrovft&amp;AN=00129689-000000000-00000</v>
      </c>
      <c r="N398" t="s">
        <v>1318</v>
      </c>
      <c r="O398" t="s">
        <v>2151</v>
      </c>
      <c r="P398" t="s">
        <v>2431</v>
      </c>
      <c r="Q398">
        <v>1428052</v>
      </c>
      <c r="R398" t="s">
        <v>2988</v>
      </c>
      <c r="S398" t="s">
        <v>84</v>
      </c>
      <c r="T398" t="s">
        <v>2152</v>
      </c>
      <c r="U398" t="s">
        <v>865</v>
      </c>
      <c r="V398" t="b">
        <v>1</v>
      </c>
      <c r="W398" t="s">
        <v>3033</v>
      </c>
      <c r="X398" t="b">
        <v>0</v>
      </c>
      <c r="Y398" t="s">
        <v>2022</v>
      </c>
      <c r="Z398" t="s">
        <v>2196</v>
      </c>
      <c r="AA398" t="s">
        <v>192</v>
      </c>
      <c r="AB398" t="s">
        <v>192</v>
      </c>
    </row>
    <row r="399" spans="1:28" x14ac:dyDescent="0.3">
      <c r="A399" t="s">
        <v>1758</v>
      </c>
      <c r="B399" t="s">
        <v>1254</v>
      </c>
      <c r="C399" t="s">
        <v>1831</v>
      </c>
      <c r="D399" t="s">
        <v>44</v>
      </c>
      <c r="E399" s="1">
        <v>46055</v>
      </c>
      <c r="F399">
        <v>45</v>
      </c>
      <c r="G399">
        <v>1</v>
      </c>
      <c r="H399">
        <v>61</v>
      </c>
      <c r="I399" t="s">
        <v>2016</v>
      </c>
      <c r="J399" t="s">
        <v>1855</v>
      </c>
      <c r="K399" t="s">
        <v>3136</v>
      </c>
      <c r="L399" t="s">
        <v>2942</v>
      </c>
      <c r="M399" s="3" t="str">
        <f>HYPERLINK("https://ovidsp.ovid.com/ovidweb.cgi?T=JS&amp;NEWS=n&amp;CSC=Y&amp;PAGE=toc&amp;D=yrovft&amp;AN=00132586-000000000-00000","https://ovidsp.ovid.com/ovidweb.cgi?T=JS&amp;NEWS=n&amp;CSC=Y&amp;PAGE=toc&amp;D=yrovft&amp;AN=00132586-000000000-00000")</f>
        <v>https://ovidsp.ovid.com/ovidweb.cgi?T=JS&amp;NEWS=n&amp;CSC=Y&amp;PAGE=toc&amp;D=yrovft&amp;AN=00132586-000000000-00000</v>
      </c>
      <c r="N399" t="s">
        <v>2688</v>
      </c>
      <c r="O399" t="s">
        <v>2151</v>
      </c>
      <c r="P399" t="s">
        <v>2431</v>
      </c>
      <c r="Q399">
        <v>1428052</v>
      </c>
      <c r="R399" t="s">
        <v>2975</v>
      </c>
      <c r="S399" t="s">
        <v>84</v>
      </c>
      <c r="T399" t="s">
        <v>2152</v>
      </c>
      <c r="U399" t="s">
        <v>3004</v>
      </c>
      <c r="V399" t="b">
        <v>0</v>
      </c>
      <c r="W399" t="s">
        <v>2022</v>
      </c>
      <c r="X399" t="b">
        <v>0</v>
      </c>
      <c r="Y399" t="s">
        <v>2022</v>
      </c>
      <c r="Z399" t="s">
        <v>2965</v>
      </c>
      <c r="AA399" t="s">
        <v>192</v>
      </c>
      <c r="AB399" t="s">
        <v>192</v>
      </c>
    </row>
    <row r="400" spans="1:28" x14ac:dyDescent="0.3">
      <c r="A400" t="s">
        <v>17</v>
      </c>
      <c r="B400" t="s">
        <v>2022</v>
      </c>
      <c r="C400" t="s">
        <v>166</v>
      </c>
      <c r="D400" t="s">
        <v>44</v>
      </c>
      <c r="E400" s="1">
        <v>46055</v>
      </c>
      <c r="F400">
        <v>14</v>
      </c>
      <c r="G400">
        <v>1</v>
      </c>
      <c r="H400">
        <v>24</v>
      </c>
      <c r="I400">
        <v>4</v>
      </c>
      <c r="J400" t="s">
        <v>1947</v>
      </c>
      <c r="K400" t="s">
        <v>2249</v>
      </c>
      <c r="L400" t="s">
        <v>2771</v>
      </c>
      <c r="M400" s="3" t="str">
        <f>HYPERLINK("https://ovidsp.ovid.com/ovidweb.cgi?T=JS&amp;NEWS=n&amp;CSC=Y&amp;PAGE=toc&amp;D=yrovft&amp;AN=00132587-000000000-00000","https://ovidsp.ovid.com/ovidweb.cgi?T=JS&amp;NEWS=n&amp;CSC=Y&amp;PAGE=toc&amp;D=yrovft&amp;AN=00132587-000000000-00000")</f>
        <v>https://ovidsp.ovid.com/ovidweb.cgi?T=JS&amp;NEWS=n&amp;CSC=Y&amp;PAGE=toc&amp;D=yrovft&amp;AN=00132587-000000000-00000</v>
      </c>
      <c r="N400" t="s">
        <v>2223</v>
      </c>
      <c r="O400" t="s">
        <v>2151</v>
      </c>
      <c r="P400" t="s">
        <v>2431</v>
      </c>
      <c r="Q400">
        <v>1428052</v>
      </c>
      <c r="R400" t="s">
        <v>1272</v>
      </c>
      <c r="S400" t="s">
        <v>84</v>
      </c>
      <c r="T400" t="s">
        <v>2152</v>
      </c>
      <c r="U400" t="s">
        <v>1427</v>
      </c>
      <c r="V400" t="b">
        <v>1</v>
      </c>
      <c r="W400" t="s">
        <v>2699</v>
      </c>
      <c r="X400" t="b">
        <v>0</v>
      </c>
      <c r="Y400" t="s">
        <v>2022</v>
      </c>
      <c r="Z400" t="s">
        <v>1351</v>
      </c>
      <c r="AA400" t="s">
        <v>192</v>
      </c>
      <c r="AB400" t="s">
        <v>192</v>
      </c>
    </row>
    <row r="401" spans="1:28" x14ac:dyDescent="0.3">
      <c r="A401" t="s">
        <v>823</v>
      </c>
      <c r="B401" t="s">
        <v>2022</v>
      </c>
      <c r="C401" t="s">
        <v>301</v>
      </c>
      <c r="D401" t="s">
        <v>44</v>
      </c>
      <c r="E401" s="1">
        <v>46055</v>
      </c>
      <c r="F401">
        <v>19</v>
      </c>
      <c r="G401">
        <v>1</v>
      </c>
      <c r="H401">
        <v>29</v>
      </c>
      <c r="I401">
        <v>4</v>
      </c>
      <c r="J401" t="s">
        <v>1947</v>
      </c>
      <c r="K401" t="s">
        <v>2249</v>
      </c>
      <c r="L401" t="s">
        <v>2771</v>
      </c>
      <c r="M401" s="3" t="str">
        <f>HYPERLINK("https://ovidsp.ovid.com/ovidweb.cgi?T=JS&amp;NEWS=n&amp;CSC=Y&amp;PAGE=toc&amp;D=yrovft&amp;AN=00130911-000000000-00000","https://ovidsp.ovid.com/ovidweb.cgi?T=JS&amp;NEWS=n&amp;CSC=Y&amp;PAGE=toc&amp;D=yrovft&amp;AN=00130911-000000000-00000")</f>
        <v>https://ovidsp.ovid.com/ovidweb.cgi?T=JS&amp;NEWS=n&amp;CSC=Y&amp;PAGE=toc&amp;D=yrovft&amp;AN=00130911-000000000-00000</v>
      </c>
      <c r="N401" t="s">
        <v>1030</v>
      </c>
      <c r="O401" t="s">
        <v>2151</v>
      </c>
      <c r="P401" t="s">
        <v>2431</v>
      </c>
      <c r="Q401">
        <v>1428052</v>
      </c>
      <c r="R401" t="s">
        <v>105</v>
      </c>
      <c r="S401" t="s">
        <v>84</v>
      </c>
      <c r="T401" t="s">
        <v>2152</v>
      </c>
      <c r="U401" t="s">
        <v>80</v>
      </c>
      <c r="V401" t="b">
        <v>1</v>
      </c>
      <c r="W401" t="s">
        <v>2843</v>
      </c>
      <c r="X401" t="b">
        <v>0</v>
      </c>
      <c r="Y401" t="s">
        <v>2022</v>
      </c>
      <c r="Z401" t="s">
        <v>831</v>
      </c>
      <c r="AA401" t="s">
        <v>192</v>
      </c>
      <c r="AB401" t="s">
        <v>192</v>
      </c>
    </row>
    <row r="402" spans="1:28" x14ac:dyDescent="0.3">
      <c r="A402" t="s">
        <v>27</v>
      </c>
      <c r="B402" t="s">
        <v>545</v>
      </c>
      <c r="C402" t="s">
        <v>2936</v>
      </c>
      <c r="D402" t="s">
        <v>44</v>
      </c>
      <c r="E402" s="1">
        <v>46055</v>
      </c>
      <c r="F402">
        <v>1</v>
      </c>
      <c r="G402">
        <v>1</v>
      </c>
      <c r="H402">
        <v>11</v>
      </c>
      <c r="I402">
        <v>4</v>
      </c>
      <c r="J402" t="s">
        <v>154</v>
      </c>
      <c r="K402" t="s">
        <v>188</v>
      </c>
      <c r="L402" t="s">
        <v>2722</v>
      </c>
      <c r="M402" s="3" t="str">
        <f>HYPERLINK("https://ovidsp.ovid.com/ovidweb.cgi?T=JS&amp;NEWS=n&amp;CSC=Y&amp;PAGE=toc&amp;D=yrovft&amp;AN=00132588-000000000-00000","https://ovidsp.ovid.com/ovidweb.cgi?T=JS&amp;NEWS=n&amp;CSC=Y&amp;PAGE=toc&amp;D=yrovft&amp;AN=00132588-000000000-00000")</f>
        <v>https://ovidsp.ovid.com/ovidweb.cgi?T=JS&amp;NEWS=n&amp;CSC=Y&amp;PAGE=toc&amp;D=yrovft&amp;AN=00132588-000000000-00000</v>
      </c>
      <c r="N402" t="s">
        <v>2022</v>
      </c>
      <c r="O402" t="s">
        <v>2151</v>
      </c>
      <c r="P402" t="s">
        <v>2431</v>
      </c>
      <c r="Q402">
        <v>1428052</v>
      </c>
      <c r="R402" t="s">
        <v>29</v>
      </c>
      <c r="S402" t="s">
        <v>84</v>
      </c>
      <c r="T402" t="s">
        <v>2152</v>
      </c>
      <c r="U402" t="s">
        <v>2019</v>
      </c>
      <c r="V402" t="b">
        <v>0</v>
      </c>
      <c r="W402" t="s">
        <v>2022</v>
      </c>
      <c r="X402" t="b">
        <v>0</v>
      </c>
      <c r="Y402" t="s">
        <v>2022</v>
      </c>
      <c r="Z402" t="s">
        <v>1351</v>
      </c>
      <c r="AA402" t="s">
        <v>192</v>
      </c>
      <c r="AB402" t="s">
        <v>192</v>
      </c>
    </row>
    <row r="403" spans="1:28" x14ac:dyDescent="0.3">
      <c r="A403" t="s">
        <v>2469</v>
      </c>
      <c r="B403" t="s">
        <v>512</v>
      </c>
      <c r="C403" t="s">
        <v>907</v>
      </c>
      <c r="D403" t="s">
        <v>44</v>
      </c>
      <c r="E403" s="1">
        <v>46055</v>
      </c>
      <c r="F403">
        <v>1</v>
      </c>
      <c r="G403">
        <v>1</v>
      </c>
      <c r="H403">
        <v>9</v>
      </c>
      <c r="I403">
        <v>4</v>
      </c>
      <c r="J403" t="s">
        <v>588</v>
      </c>
      <c r="K403" t="s">
        <v>2149</v>
      </c>
      <c r="L403" t="s">
        <v>489</v>
      </c>
      <c r="M403" s="3" t="str">
        <f>HYPERLINK("https://ovidsp.ovid.com/ovidweb.cgi?T=JS&amp;NEWS=n&amp;CSC=Y&amp;PAGE=toc&amp;D=yrovft&amp;AN=00145756-000000000-00000","https://ovidsp.ovid.com/ovidweb.cgi?T=JS&amp;NEWS=n&amp;CSC=Y&amp;PAGE=toc&amp;D=yrovft&amp;AN=00145756-000000000-00000")</f>
        <v>https://ovidsp.ovid.com/ovidweb.cgi?T=JS&amp;NEWS=n&amp;CSC=Y&amp;PAGE=toc&amp;D=yrovft&amp;AN=00145756-000000000-00000</v>
      </c>
      <c r="N403" t="s">
        <v>2022</v>
      </c>
      <c r="O403" t="s">
        <v>2151</v>
      </c>
      <c r="P403" t="s">
        <v>2431</v>
      </c>
      <c r="Q403">
        <v>1428052</v>
      </c>
      <c r="R403" t="s">
        <v>840</v>
      </c>
      <c r="S403" t="s">
        <v>84</v>
      </c>
      <c r="T403" t="s">
        <v>2152</v>
      </c>
      <c r="U403" t="s">
        <v>205</v>
      </c>
      <c r="V403" t="b">
        <v>0</v>
      </c>
      <c r="W403" t="s">
        <v>2022</v>
      </c>
      <c r="X403" t="b">
        <v>0</v>
      </c>
      <c r="Y403" t="s">
        <v>2022</v>
      </c>
      <c r="Z403" t="s">
        <v>831</v>
      </c>
      <c r="AA403" t="s">
        <v>192</v>
      </c>
      <c r="AB403" t="s">
        <v>192</v>
      </c>
    </row>
    <row r="404" spans="1:28" x14ac:dyDescent="0.3">
      <c r="A404" t="s">
        <v>1435</v>
      </c>
      <c r="B404" t="s">
        <v>2022</v>
      </c>
      <c r="C404" t="s">
        <v>1774</v>
      </c>
      <c r="D404" t="s">
        <v>44</v>
      </c>
      <c r="E404" s="1">
        <v>46055</v>
      </c>
      <c r="F404">
        <v>30</v>
      </c>
      <c r="G404">
        <v>1</v>
      </c>
      <c r="H404">
        <v>40</v>
      </c>
      <c r="I404">
        <v>4</v>
      </c>
      <c r="J404" t="s">
        <v>1947</v>
      </c>
      <c r="K404" t="s">
        <v>2249</v>
      </c>
      <c r="L404" t="s">
        <v>2771</v>
      </c>
      <c r="M404" s="3" t="str">
        <f>HYPERLINK("https://ovidsp.ovid.com/ovidweb.cgi?T=JS&amp;NEWS=n&amp;CSC=Y&amp;PAGE=toc&amp;D=yrovft&amp;AN=00013611-000000000-00000","https://ovidsp.ovid.com/ovidweb.cgi?T=JS&amp;NEWS=n&amp;CSC=Y&amp;PAGE=toc&amp;D=yrovft&amp;AN=00013611-000000000-00000")</f>
        <v>https://ovidsp.ovid.com/ovidweb.cgi?T=JS&amp;NEWS=n&amp;CSC=Y&amp;PAGE=toc&amp;D=yrovft&amp;AN=00013611-000000000-00000</v>
      </c>
      <c r="N404" t="s">
        <v>2460</v>
      </c>
      <c r="O404" t="s">
        <v>2151</v>
      </c>
      <c r="P404" t="s">
        <v>2431</v>
      </c>
      <c r="Q404">
        <v>1428052</v>
      </c>
      <c r="R404" t="s">
        <v>2850</v>
      </c>
      <c r="S404" t="s">
        <v>84</v>
      </c>
      <c r="T404" t="s">
        <v>2152</v>
      </c>
      <c r="U404" t="s">
        <v>989</v>
      </c>
      <c r="V404" t="b">
        <v>1</v>
      </c>
      <c r="W404" t="s">
        <v>1004</v>
      </c>
      <c r="X404" t="b">
        <v>0</v>
      </c>
      <c r="Y404" t="s">
        <v>2022</v>
      </c>
      <c r="Z404" t="s">
        <v>2196</v>
      </c>
      <c r="AA404" t="s">
        <v>192</v>
      </c>
      <c r="AB404" t="s">
        <v>192</v>
      </c>
    </row>
    <row r="405" spans="1:28" x14ac:dyDescent="0.3">
      <c r="A405" t="s">
        <v>381</v>
      </c>
      <c r="B405" t="s">
        <v>867</v>
      </c>
      <c r="C405" t="s">
        <v>2329</v>
      </c>
      <c r="D405" t="s">
        <v>44</v>
      </c>
      <c r="E405" s="1">
        <v>46055</v>
      </c>
      <c r="F405">
        <v>1</v>
      </c>
      <c r="G405">
        <v>2</v>
      </c>
      <c r="H405">
        <v>21</v>
      </c>
      <c r="I405">
        <v>4</v>
      </c>
      <c r="J405" t="s">
        <v>425</v>
      </c>
      <c r="K405" t="s">
        <v>779</v>
      </c>
      <c r="L405" t="s">
        <v>1695</v>
      </c>
      <c r="M405" s="3" t="str">
        <f>HYPERLINK("https://ovidsp.ovid.com/ovidweb.cgi?T=JS&amp;NEWS=n&amp;CSC=Y&amp;PAGE=toc&amp;D=yrovft&amp;AN=00132589-000000000-00000","https://ovidsp.ovid.com/ovidweb.cgi?T=JS&amp;NEWS=n&amp;CSC=Y&amp;PAGE=toc&amp;D=yrovft&amp;AN=00132589-000000000-00000")</f>
        <v>https://ovidsp.ovid.com/ovidweb.cgi?T=JS&amp;NEWS=n&amp;CSC=Y&amp;PAGE=toc&amp;D=yrovft&amp;AN=00132589-000000000-00000</v>
      </c>
      <c r="N405" t="s">
        <v>1910</v>
      </c>
      <c r="O405" t="s">
        <v>2151</v>
      </c>
      <c r="P405" t="s">
        <v>2431</v>
      </c>
      <c r="Q405">
        <v>1428052</v>
      </c>
      <c r="R405" t="s">
        <v>2164</v>
      </c>
      <c r="S405" t="s">
        <v>84</v>
      </c>
      <c r="T405" t="s">
        <v>2152</v>
      </c>
      <c r="U405" t="s">
        <v>1145</v>
      </c>
      <c r="V405" t="b">
        <v>0</v>
      </c>
      <c r="W405" t="s">
        <v>2022</v>
      </c>
      <c r="X405" t="b">
        <v>0</v>
      </c>
      <c r="Y405" t="s">
        <v>2022</v>
      </c>
      <c r="Z405" t="s">
        <v>1351</v>
      </c>
      <c r="AA405" t="s">
        <v>192</v>
      </c>
      <c r="AB405" t="s">
        <v>192</v>
      </c>
    </row>
    <row r="406" spans="1:28" x14ac:dyDescent="0.3">
      <c r="A406" t="s">
        <v>1169</v>
      </c>
      <c r="B406" t="s">
        <v>462</v>
      </c>
      <c r="C406" t="s">
        <v>2632</v>
      </c>
      <c r="D406" t="s">
        <v>44</v>
      </c>
      <c r="E406" s="1">
        <v>46055</v>
      </c>
      <c r="F406">
        <v>37</v>
      </c>
      <c r="G406">
        <v>1</v>
      </c>
      <c r="H406">
        <v>48</v>
      </c>
      <c r="I406">
        <v>2</v>
      </c>
      <c r="J406" t="s">
        <v>2585</v>
      </c>
      <c r="K406" t="s">
        <v>1959</v>
      </c>
      <c r="L406" t="s">
        <v>712</v>
      </c>
      <c r="M406" s="3" t="str">
        <f>HYPERLINK("https://ovidsp.ovid.com/ovidweb.cgi?T=JS&amp;NEWS=n&amp;CSC=Y&amp;PAGE=toc&amp;D=yrovft&amp;AN=00000372-000000000-00000","https://ovidsp.ovid.com/ovidweb.cgi?T=JS&amp;NEWS=n&amp;CSC=Y&amp;PAGE=toc&amp;D=yrovft&amp;AN=00000372-000000000-00000")</f>
        <v>https://ovidsp.ovid.com/ovidweb.cgi?T=JS&amp;NEWS=n&amp;CSC=Y&amp;PAGE=toc&amp;D=yrovft&amp;AN=00000372-000000000-00000</v>
      </c>
      <c r="N406" t="s">
        <v>704</v>
      </c>
      <c r="O406" t="s">
        <v>2151</v>
      </c>
      <c r="P406" t="s">
        <v>2431</v>
      </c>
      <c r="Q406">
        <v>1428052</v>
      </c>
      <c r="R406" t="s">
        <v>2027</v>
      </c>
      <c r="S406" t="s">
        <v>84</v>
      </c>
      <c r="T406" t="s">
        <v>2152</v>
      </c>
      <c r="U406" t="s">
        <v>751</v>
      </c>
      <c r="V406" t="b">
        <v>1</v>
      </c>
      <c r="W406" t="s">
        <v>2232</v>
      </c>
      <c r="X406" t="b">
        <v>0</v>
      </c>
      <c r="Y406" t="s">
        <v>2022</v>
      </c>
      <c r="Z406" t="s">
        <v>831</v>
      </c>
      <c r="AA406" t="s">
        <v>192</v>
      </c>
      <c r="AB406" t="s">
        <v>192</v>
      </c>
    </row>
    <row r="407" spans="1:28" x14ac:dyDescent="0.3">
      <c r="A407" t="s">
        <v>1895</v>
      </c>
      <c r="B407" t="s">
        <v>1360</v>
      </c>
      <c r="C407" t="s">
        <v>2022</v>
      </c>
      <c r="D407" t="s">
        <v>44</v>
      </c>
      <c r="E407" s="1">
        <v>46055</v>
      </c>
      <c r="F407">
        <v>19</v>
      </c>
      <c r="G407">
        <v>1</v>
      </c>
      <c r="H407">
        <v>38</v>
      </c>
      <c r="I407">
        <v>12</v>
      </c>
      <c r="J407" t="s">
        <v>2641</v>
      </c>
      <c r="K407" t="s">
        <v>1613</v>
      </c>
      <c r="L407" t="s">
        <v>1080</v>
      </c>
      <c r="M407" s="3" t="str">
        <f>HYPERLINK("https://ovidsp.ovid.com/ovidweb.cgi?T=JS&amp;NEWS=n&amp;CSC=Y&amp;PAGE=toc&amp;D=yrovft&amp;AN=00130561-000000000-00000","https://ovidsp.ovid.com/ovidweb.cgi?T=JS&amp;NEWS=n&amp;CSC=Y&amp;PAGE=toc&amp;D=yrovft&amp;AN=00130561-000000000-00000")</f>
        <v>https://ovidsp.ovid.com/ovidweb.cgi?T=JS&amp;NEWS=n&amp;CSC=Y&amp;PAGE=toc&amp;D=yrovft&amp;AN=00130561-000000000-00000</v>
      </c>
      <c r="N407" t="s">
        <v>376</v>
      </c>
      <c r="O407" t="s">
        <v>2151</v>
      </c>
      <c r="P407" t="s">
        <v>2431</v>
      </c>
      <c r="Q407">
        <v>1428052</v>
      </c>
      <c r="R407" t="s">
        <v>1095</v>
      </c>
      <c r="S407" t="s">
        <v>84</v>
      </c>
      <c r="T407" t="s">
        <v>2152</v>
      </c>
      <c r="U407" t="s">
        <v>2021</v>
      </c>
      <c r="V407" t="b">
        <v>0</v>
      </c>
      <c r="W407" t="s">
        <v>2022</v>
      </c>
      <c r="X407" t="b">
        <v>0</v>
      </c>
      <c r="Y407" t="s">
        <v>2022</v>
      </c>
      <c r="Z407" t="s">
        <v>831</v>
      </c>
      <c r="AA407" t="s">
        <v>192</v>
      </c>
      <c r="AB407" t="s">
        <v>192</v>
      </c>
    </row>
    <row r="408" spans="1:28" x14ac:dyDescent="0.3">
      <c r="A408" t="s">
        <v>1431</v>
      </c>
      <c r="B408" t="s">
        <v>2022</v>
      </c>
      <c r="C408" t="s">
        <v>2749</v>
      </c>
      <c r="D408" t="s">
        <v>44</v>
      </c>
      <c r="E408" s="1">
        <v>46055</v>
      </c>
      <c r="F408">
        <v>21</v>
      </c>
      <c r="G408">
        <v>1</v>
      </c>
      <c r="H408">
        <v>32</v>
      </c>
      <c r="I408">
        <v>1</v>
      </c>
      <c r="J408" t="s">
        <v>672</v>
      </c>
      <c r="K408" t="s">
        <v>1959</v>
      </c>
      <c r="L408" t="s">
        <v>2919</v>
      </c>
      <c r="M408" s="3" t="str">
        <f>HYPERLINK("https://ovidsp.ovid.com/ovidweb.cgi?T=JS&amp;NEWS=n&amp;CSC=Y&amp;PAGE=toc&amp;D=yrovft&amp;AN=00130404-000000000-00000","https://ovidsp.ovid.com/ovidweb.cgi?T=JS&amp;NEWS=n&amp;CSC=Y&amp;PAGE=toc&amp;D=yrovft&amp;AN=00130404-000000000-00000")</f>
        <v>https://ovidsp.ovid.com/ovidweb.cgi?T=JS&amp;NEWS=n&amp;CSC=Y&amp;PAGE=toc&amp;D=yrovft&amp;AN=00130404-000000000-00000</v>
      </c>
      <c r="N408" t="s">
        <v>2114</v>
      </c>
      <c r="O408" t="s">
        <v>2151</v>
      </c>
      <c r="P408" t="s">
        <v>2431</v>
      </c>
      <c r="Q408">
        <v>1428052</v>
      </c>
      <c r="R408" t="s">
        <v>2776</v>
      </c>
      <c r="S408" t="s">
        <v>84</v>
      </c>
      <c r="T408" t="s">
        <v>2152</v>
      </c>
      <c r="U408" t="s">
        <v>2862</v>
      </c>
      <c r="V408" t="b">
        <v>0</v>
      </c>
      <c r="W408" t="s">
        <v>2022</v>
      </c>
      <c r="X408" t="b">
        <v>0</v>
      </c>
      <c r="Y408" t="s">
        <v>2022</v>
      </c>
      <c r="Z408" t="s">
        <v>2944</v>
      </c>
      <c r="AA408" t="s">
        <v>192</v>
      </c>
      <c r="AB408" t="s">
        <v>192</v>
      </c>
    </row>
    <row r="409" spans="1:28" x14ac:dyDescent="0.3">
      <c r="A409" t="s">
        <v>2476</v>
      </c>
      <c r="B409" t="s">
        <v>2022</v>
      </c>
      <c r="C409" t="s">
        <v>2923</v>
      </c>
      <c r="D409" t="s">
        <v>44</v>
      </c>
      <c r="E409" s="1">
        <v>46055</v>
      </c>
      <c r="F409">
        <v>31</v>
      </c>
      <c r="G409">
        <v>1</v>
      </c>
      <c r="H409">
        <v>42</v>
      </c>
      <c r="I409">
        <v>2</v>
      </c>
      <c r="J409" t="s">
        <v>2585</v>
      </c>
      <c r="K409" t="s">
        <v>1959</v>
      </c>
      <c r="L409" t="s">
        <v>712</v>
      </c>
      <c r="M409" s="3" t="str">
        <f>HYPERLINK("https://ovidsp.ovid.com/ovidweb.cgi?T=JS&amp;NEWS=n&amp;CSC=Y&amp;PAGE=toc&amp;D=yrovft&amp;AN=00002508-000000000-00000","https://ovidsp.ovid.com/ovidweb.cgi?T=JS&amp;NEWS=n&amp;CSC=Y&amp;PAGE=toc&amp;D=yrovft&amp;AN=00002508-000000000-00000")</f>
        <v>https://ovidsp.ovid.com/ovidweb.cgi?T=JS&amp;NEWS=n&amp;CSC=Y&amp;PAGE=toc&amp;D=yrovft&amp;AN=00002508-000000000-00000</v>
      </c>
      <c r="N409" t="s">
        <v>2461</v>
      </c>
      <c r="O409" t="s">
        <v>2151</v>
      </c>
      <c r="P409" t="s">
        <v>2431</v>
      </c>
      <c r="Q409">
        <v>1428052</v>
      </c>
      <c r="R409" t="s">
        <v>1448</v>
      </c>
      <c r="S409" t="s">
        <v>84</v>
      </c>
      <c r="T409" t="s">
        <v>2152</v>
      </c>
      <c r="U409" t="s">
        <v>1047</v>
      </c>
      <c r="V409" t="b">
        <v>1</v>
      </c>
      <c r="W409" t="s">
        <v>2244</v>
      </c>
      <c r="X409" t="b">
        <v>0</v>
      </c>
      <c r="Y409" t="s">
        <v>2022</v>
      </c>
      <c r="Z409" t="s">
        <v>3029</v>
      </c>
      <c r="AA409" t="s">
        <v>192</v>
      </c>
      <c r="AB409" t="s">
        <v>192</v>
      </c>
    </row>
    <row r="410" spans="1:28" x14ac:dyDescent="0.3">
      <c r="A410" t="s">
        <v>1002</v>
      </c>
      <c r="B410" t="s">
        <v>641</v>
      </c>
      <c r="C410" t="s">
        <v>1995</v>
      </c>
      <c r="D410" t="s">
        <v>44</v>
      </c>
      <c r="E410" s="1">
        <v>46055</v>
      </c>
      <c r="F410">
        <v>11</v>
      </c>
      <c r="G410">
        <v>1</v>
      </c>
      <c r="H410">
        <v>20</v>
      </c>
      <c r="I410">
        <v>6</v>
      </c>
      <c r="J410" t="s">
        <v>2735</v>
      </c>
      <c r="K410" t="s">
        <v>2380</v>
      </c>
      <c r="L410" t="s">
        <v>532</v>
      </c>
      <c r="M410" s="3" t="str">
        <f>HYPERLINK("https://ovidsp.ovid.com/ovidweb.cgi?T=JS&amp;NEWS=n&amp;CSC=Y&amp;PAGE=toc&amp;D=yrovft&amp;AN=00019616-000000000-00000","https://ovidsp.ovid.com/ovidweb.cgi?T=JS&amp;NEWS=n&amp;CSC=Y&amp;PAGE=toc&amp;D=yrovft&amp;AN=00019616-000000000-00000")</f>
        <v>https://ovidsp.ovid.com/ovidweb.cgi?T=JS&amp;NEWS=n&amp;CSC=Y&amp;PAGE=toc&amp;D=yrovft&amp;AN=00019616-000000000-00000</v>
      </c>
      <c r="N410" t="s">
        <v>1157</v>
      </c>
      <c r="O410" t="s">
        <v>2151</v>
      </c>
      <c r="P410" t="s">
        <v>2431</v>
      </c>
      <c r="Q410">
        <v>1428052</v>
      </c>
      <c r="R410" t="s">
        <v>1283</v>
      </c>
      <c r="S410" t="s">
        <v>84</v>
      </c>
      <c r="T410" t="s">
        <v>2152</v>
      </c>
      <c r="U410" t="s">
        <v>2839</v>
      </c>
      <c r="V410" t="b">
        <v>0</v>
      </c>
      <c r="W410" t="s">
        <v>2022</v>
      </c>
      <c r="X410" t="b">
        <v>0</v>
      </c>
      <c r="Y410" t="s">
        <v>2022</v>
      </c>
      <c r="Z410" t="s">
        <v>1351</v>
      </c>
      <c r="AA410" t="s">
        <v>192</v>
      </c>
      <c r="AB410" t="s">
        <v>192</v>
      </c>
    </row>
    <row r="411" spans="1:28" x14ac:dyDescent="0.3">
      <c r="A411" t="s">
        <v>1871</v>
      </c>
      <c r="B411" t="s">
        <v>203</v>
      </c>
      <c r="C411" t="s">
        <v>2219</v>
      </c>
      <c r="D411" t="s">
        <v>44</v>
      </c>
      <c r="E411" s="1">
        <v>46055</v>
      </c>
      <c r="F411">
        <v>18</v>
      </c>
      <c r="G411">
        <v>3</v>
      </c>
      <c r="H411">
        <v>39</v>
      </c>
      <c r="I411">
        <v>4</v>
      </c>
      <c r="J411" t="s">
        <v>1555</v>
      </c>
      <c r="K411" t="s">
        <v>107</v>
      </c>
      <c r="L411" t="s">
        <v>2445</v>
      </c>
      <c r="M411" s="3" t="str">
        <f>HYPERLINK("https://ovidsp.ovid.com/ovidweb.cgi?T=JS&amp;NEWS=n&amp;CSC=Y&amp;PAGE=toc&amp;D=yrovft&amp;AN=00126450-000000000-00000","https://ovidsp.ovid.com/ovidweb.cgi?T=JS&amp;NEWS=n&amp;CSC=Y&amp;PAGE=toc&amp;D=yrovft&amp;AN=00126450-000000000-00000")</f>
        <v>https://ovidsp.ovid.com/ovidweb.cgi?T=JS&amp;NEWS=n&amp;CSC=Y&amp;PAGE=toc&amp;D=yrovft&amp;AN=00126450-000000000-00000</v>
      </c>
      <c r="N411" t="s">
        <v>1020</v>
      </c>
      <c r="O411" t="s">
        <v>2151</v>
      </c>
      <c r="P411" t="s">
        <v>2431</v>
      </c>
      <c r="Q411">
        <v>1428052</v>
      </c>
      <c r="R411" t="s">
        <v>1705</v>
      </c>
      <c r="S411" t="s">
        <v>84</v>
      </c>
      <c r="T411" t="s">
        <v>2152</v>
      </c>
      <c r="U411" t="s">
        <v>124</v>
      </c>
      <c r="V411" t="b">
        <v>0</v>
      </c>
      <c r="W411" t="s">
        <v>2022</v>
      </c>
      <c r="X411" t="b">
        <v>0</v>
      </c>
      <c r="Y411" t="s">
        <v>2022</v>
      </c>
      <c r="Z411" t="s">
        <v>1361</v>
      </c>
      <c r="AA411" t="s">
        <v>192</v>
      </c>
      <c r="AB411" t="s">
        <v>192</v>
      </c>
    </row>
    <row r="412" spans="1:28" x14ac:dyDescent="0.3">
      <c r="A412" t="s">
        <v>2659</v>
      </c>
      <c r="B412" t="s">
        <v>715</v>
      </c>
      <c r="C412" t="s">
        <v>2022</v>
      </c>
      <c r="D412" t="s">
        <v>44</v>
      </c>
      <c r="E412" s="1">
        <v>46055</v>
      </c>
      <c r="F412">
        <v>47</v>
      </c>
      <c r="G412">
        <v>1</v>
      </c>
      <c r="H412">
        <v>79</v>
      </c>
      <c r="I412">
        <v>1</v>
      </c>
      <c r="J412" t="s">
        <v>2945</v>
      </c>
      <c r="K412" t="s">
        <v>13</v>
      </c>
      <c r="L412" t="s">
        <v>2919</v>
      </c>
      <c r="M412" s="3" t="str">
        <f>HYPERLINK("https://ovidsp.ovid.com/ovidweb.cgi?T=JS&amp;NEWS=n&amp;CSC=Y&amp;PAGE=toc&amp;D=yrovft&amp;AN=00025572-000000000-00000","https://ovidsp.ovid.com/ovidweb.cgi?T=JS&amp;NEWS=n&amp;CSC=Y&amp;PAGE=toc&amp;D=yrovft&amp;AN=00025572-000000000-00000")</f>
        <v>https://ovidsp.ovid.com/ovidweb.cgi?T=JS&amp;NEWS=n&amp;CSC=Y&amp;PAGE=toc&amp;D=yrovft&amp;AN=00025572-000000000-00000</v>
      </c>
      <c r="N412" t="s">
        <v>3054</v>
      </c>
      <c r="O412" t="s">
        <v>2151</v>
      </c>
      <c r="P412" t="s">
        <v>2431</v>
      </c>
      <c r="Q412">
        <v>1428052</v>
      </c>
      <c r="R412" t="s">
        <v>2639</v>
      </c>
      <c r="S412" t="s">
        <v>84</v>
      </c>
      <c r="T412" t="s">
        <v>2152</v>
      </c>
      <c r="U412" t="s">
        <v>1584</v>
      </c>
      <c r="V412" t="b">
        <v>0</v>
      </c>
      <c r="W412" t="s">
        <v>2022</v>
      </c>
      <c r="X412" t="b">
        <v>0</v>
      </c>
      <c r="Y412" t="s">
        <v>2022</v>
      </c>
      <c r="Z412" t="s">
        <v>1351</v>
      </c>
      <c r="AA412" t="s">
        <v>192</v>
      </c>
      <c r="AB412" t="s">
        <v>192</v>
      </c>
    </row>
    <row r="413" spans="1:28" x14ac:dyDescent="0.3">
      <c r="A413" t="s">
        <v>1011</v>
      </c>
      <c r="B413" t="s">
        <v>2022</v>
      </c>
      <c r="C413" t="s">
        <v>1507</v>
      </c>
      <c r="D413" t="s">
        <v>44</v>
      </c>
      <c r="E413" s="1">
        <v>46055</v>
      </c>
      <c r="F413">
        <v>1</v>
      </c>
      <c r="G413">
        <v>1</v>
      </c>
      <c r="H413">
        <v>33</v>
      </c>
      <c r="I413">
        <v>3</v>
      </c>
      <c r="J413" t="s">
        <v>1503</v>
      </c>
      <c r="K413" t="s">
        <v>1310</v>
      </c>
      <c r="L413" t="s">
        <v>870</v>
      </c>
      <c r="M413" s="3" t="str">
        <f>HYPERLINK("https://ovidsp.ovid.com/ovidweb.cgi?T=JS&amp;NEWS=n&amp;CSC=Y&amp;PAGE=toc&amp;D=yrovft&amp;AN=01859447-000000000-00000","https://ovidsp.ovid.com/ovidweb.cgi?T=JS&amp;NEWS=n&amp;CSC=Y&amp;PAGE=toc&amp;D=yrovft&amp;AN=01859447-000000000-00000")</f>
        <v>https://ovidsp.ovid.com/ovidweb.cgi?T=JS&amp;NEWS=n&amp;CSC=Y&amp;PAGE=toc&amp;D=yrovft&amp;AN=01859447-000000000-00000</v>
      </c>
      <c r="N413" t="s">
        <v>229</v>
      </c>
      <c r="O413" t="s">
        <v>2151</v>
      </c>
      <c r="P413" t="s">
        <v>2431</v>
      </c>
      <c r="Q413">
        <v>1428052</v>
      </c>
      <c r="R413" t="s">
        <v>1336</v>
      </c>
      <c r="S413" t="s">
        <v>84</v>
      </c>
      <c r="T413" t="s">
        <v>2152</v>
      </c>
      <c r="U413" t="s">
        <v>275</v>
      </c>
      <c r="V413" t="b">
        <v>0</v>
      </c>
      <c r="W413" t="s">
        <v>2022</v>
      </c>
      <c r="X413" t="b">
        <v>0</v>
      </c>
      <c r="Y413" t="s">
        <v>2022</v>
      </c>
      <c r="Z413" t="s">
        <v>831</v>
      </c>
      <c r="AA413" t="s">
        <v>192</v>
      </c>
      <c r="AB413" t="s">
        <v>192</v>
      </c>
    </row>
    <row r="414" spans="1:28" x14ac:dyDescent="0.3">
      <c r="A414" t="s">
        <v>2920</v>
      </c>
      <c r="B414" t="s">
        <v>1008</v>
      </c>
      <c r="C414" t="s">
        <v>2298</v>
      </c>
      <c r="D414" t="s">
        <v>44</v>
      </c>
      <c r="E414" s="1">
        <v>46055</v>
      </c>
      <c r="F414">
        <v>31</v>
      </c>
      <c r="G414">
        <v>1</v>
      </c>
      <c r="H414">
        <v>41</v>
      </c>
      <c r="I414">
        <v>4</v>
      </c>
      <c r="J414" t="s">
        <v>1947</v>
      </c>
      <c r="K414" t="s">
        <v>2249</v>
      </c>
      <c r="L414" t="s">
        <v>2771</v>
      </c>
      <c r="M414" s="3" t="str">
        <f>HYPERLINK("https://ovidsp.ovid.com/ovidweb.cgi?T=JS&amp;NEWS=n&amp;CSC=Y&amp;PAGE=toc&amp;D=yrovft&amp;AN=00124509-000000000-00000","https://ovidsp.ovid.com/ovidweb.cgi?T=JS&amp;NEWS=n&amp;CSC=Y&amp;PAGE=toc&amp;D=yrovft&amp;AN=00124509-000000000-00000")</f>
        <v>https://ovidsp.ovid.com/ovidweb.cgi?T=JS&amp;NEWS=n&amp;CSC=Y&amp;PAGE=toc&amp;D=yrovft&amp;AN=00124509-000000000-00000</v>
      </c>
      <c r="N414" t="s">
        <v>594</v>
      </c>
      <c r="O414" t="s">
        <v>2151</v>
      </c>
      <c r="P414" t="s">
        <v>2431</v>
      </c>
      <c r="Q414">
        <v>1428052</v>
      </c>
      <c r="R414" t="s">
        <v>1300</v>
      </c>
      <c r="S414" t="s">
        <v>84</v>
      </c>
      <c r="T414" t="s">
        <v>2152</v>
      </c>
      <c r="U414" t="s">
        <v>2816</v>
      </c>
      <c r="V414" t="b">
        <v>1</v>
      </c>
      <c r="W414" t="s">
        <v>1083</v>
      </c>
      <c r="X414" t="b">
        <v>0</v>
      </c>
      <c r="Y414" t="s">
        <v>2022</v>
      </c>
      <c r="Z414" t="s">
        <v>3029</v>
      </c>
      <c r="AA414" t="s">
        <v>192</v>
      </c>
      <c r="AB414" t="s">
        <v>192</v>
      </c>
    </row>
    <row r="415" spans="1:28" x14ac:dyDescent="0.3">
      <c r="A415" t="s">
        <v>3050</v>
      </c>
      <c r="B415" t="s">
        <v>2022</v>
      </c>
      <c r="C415" t="s">
        <v>2374</v>
      </c>
      <c r="D415" t="s">
        <v>44</v>
      </c>
      <c r="E415" s="1">
        <v>46055</v>
      </c>
      <c r="F415">
        <v>25</v>
      </c>
      <c r="G415">
        <v>3</v>
      </c>
      <c r="H415">
        <v>36</v>
      </c>
      <c r="I415">
        <v>4</v>
      </c>
      <c r="J415" t="s">
        <v>2124</v>
      </c>
      <c r="K415" t="s">
        <v>1677</v>
      </c>
      <c r="L415" t="s">
        <v>2771</v>
      </c>
      <c r="M415" s="3" t="str">
        <f>HYPERLINK("https://ovidsp.ovid.com/ovidweb.cgi?T=JS&amp;NEWS=n&amp;CSC=Y&amp;PAGE=toc&amp;D=yrovft&amp;AN=01367895-000000000-00000","https://ovidsp.ovid.com/ovidweb.cgi?T=JS&amp;NEWS=n&amp;CSC=Y&amp;PAGE=toc&amp;D=yrovft&amp;AN=01367895-000000000-00000")</f>
        <v>https://ovidsp.ovid.com/ovidweb.cgi?T=JS&amp;NEWS=n&amp;CSC=Y&amp;PAGE=toc&amp;D=yrovft&amp;AN=01367895-000000000-00000</v>
      </c>
      <c r="N415" t="s">
        <v>1724</v>
      </c>
      <c r="O415" t="s">
        <v>2151</v>
      </c>
      <c r="P415" t="s">
        <v>2431</v>
      </c>
      <c r="Q415">
        <v>1428052</v>
      </c>
      <c r="R415" t="s">
        <v>440</v>
      </c>
      <c r="S415" t="s">
        <v>84</v>
      </c>
      <c r="T415" t="s">
        <v>2152</v>
      </c>
      <c r="U415" t="s">
        <v>1676</v>
      </c>
      <c r="V415" t="b">
        <v>1</v>
      </c>
      <c r="W415" t="s">
        <v>2852</v>
      </c>
      <c r="X415" t="b">
        <v>0</v>
      </c>
      <c r="Y415" t="s">
        <v>2022</v>
      </c>
      <c r="Z415" t="s">
        <v>1191</v>
      </c>
      <c r="AA415" t="s">
        <v>192</v>
      </c>
      <c r="AB415" t="s">
        <v>192</v>
      </c>
    </row>
    <row r="416" spans="1:28" x14ac:dyDescent="0.3">
      <c r="A416" t="s">
        <v>2983</v>
      </c>
      <c r="B416" t="s">
        <v>2050</v>
      </c>
      <c r="C416" t="s">
        <v>749</v>
      </c>
      <c r="D416" t="s">
        <v>44</v>
      </c>
      <c r="E416" s="1">
        <v>46055</v>
      </c>
      <c r="F416">
        <v>1</v>
      </c>
      <c r="G416">
        <v>2</v>
      </c>
      <c r="H416">
        <v>8</v>
      </c>
      <c r="I416">
        <v>2</v>
      </c>
      <c r="J416" t="s">
        <v>2458</v>
      </c>
      <c r="K416" t="s">
        <v>677</v>
      </c>
      <c r="L416" t="s">
        <v>1378</v>
      </c>
      <c r="M416" s="3" t="str">
        <f>HYPERLINK("https://ovidsp.ovid.com/ovidweb.cgi?T=JS&amp;NEWS=n&amp;CSC=Y&amp;PAGE=toc&amp;D=yrovft&amp;AN=02273304-000000000-00000","https://ovidsp.ovid.com/ovidweb.cgi?T=JS&amp;NEWS=n&amp;CSC=Y&amp;PAGE=toc&amp;D=yrovft&amp;AN=02273304-000000000-00000")</f>
        <v>https://ovidsp.ovid.com/ovidweb.cgi?T=JS&amp;NEWS=n&amp;CSC=Y&amp;PAGE=toc&amp;D=yrovft&amp;AN=02273304-000000000-00000</v>
      </c>
      <c r="N416" t="s">
        <v>3144</v>
      </c>
      <c r="O416" t="s">
        <v>2151</v>
      </c>
      <c r="P416" t="s">
        <v>2431</v>
      </c>
      <c r="Q416">
        <v>1428052</v>
      </c>
      <c r="R416" t="s">
        <v>2926</v>
      </c>
      <c r="S416" t="s">
        <v>84</v>
      </c>
      <c r="T416" t="s">
        <v>2152</v>
      </c>
      <c r="U416" t="s">
        <v>322</v>
      </c>
      <c r="V416" t="b">
        <v>1</v>
      </c>
      <c r="W416" t="s">
        <v>285</v>
      </c>
      <c r="X416" t="b">
        <v>0</v>
      </c>
      <c r="Y416" t="s">
        <v>2022</v>
      </c>
      <c r="Z416" t="s">
        <v>2022</v>
      </c>
      <c r="AA416" t="s">
        <v>192</v>
      </c>
      <c r="AB416" t="s">
        <v>192</v>
      </c>
    </row>
    <row r="417" spans="1:28" x14ac:dyDescent="0.3">
      <c r="A417" t="s">
        <v>2700</v>
      </c>
      <c r="B417" t="s">
        <v>2022</v>
      </c>
      <c r="C417" t="s">
        <v>1109</v>
      </c>
      <c r="D417" t="s">
        <v>44</v>
      </c>
      <c r="E417" s="1">
        <v>46055</v>
      </c>
      <c r="F417">
        <v>19</v>
      </c>
      <c r="G417">
        <v>2</v>
      </c>
      <c r="H417">
        <v>31</v>
      </c>
      <c r="I417">
        <v>1</v>
      </c>
      <c r="J417" t="s">
        <v>672</v>
      </c>
      <c r="K417" t="s">
        <v>1959</v>
      </c>
      <c r="L417" t="s">
        <v>2919</v>
      </c>
      <c r="M417" s="3" t="str">
        <f>HYPERLINK("https://ovidsp.ovid.com/ovidweb.cgi?T=JS&amp;NEWS=n&amp;CSC=Y&amp;PAGE=toc&amp;D=yrovft&amp;AN=00127893-000000000-00000","https://ovidsp.ovid.com/ovidweb.cgi?T=JS&amp;NEWS=n&amp;CSC=Y&amp;PAGE=toc&amp;D=yrovft&amp;AN=00127893-000000000-00000")</f>
        <v>https://ovidsp.ovid.com/ovidweb.cgi?T=JS&amp;NEWS=n&amp;CSC=Y&amp;PAGE=toc&amp;D=yrovft&amp;AN=00127893-000000000-00000</v>
      </c>
      <c r="N417" t="s">
        <v>1515</v>
      </c>
      <c r="O417" t="s">
        <v>2151</v>
      </c>
      <c r="P417" t="s">
        <v>2431</v>
      </c>
      <c r="Q417">
        <v>1428052</v>
      </c>
      <c r="R417" t="s">
        <v>2119</v>
      </c>
      <c r="S417" t="s">
        <v>84</v>
      </c>
      <c r="T417" t="s">
        <v>2152</v>
      </c>
      <c r="U417" t="s">
        <v>75</v>
      </c>
      <c r="V417" t="b">
        <v>1</v>
      </c>
      <c r="W417" t="s">
        <v>984</v>
      </c>
      <c r="X417" t="b">
        <v>0</v>
      </c>
      <c r="Y417" t="s">
        <v>2022</v>
      </c>
      <c r="Z417" t="s">
        <v>1413</v>
      </c>
      <c r="AA417" t="s">
        <v>192</v>
      </c>
      <c r="AB417" t="s">
        <v>192</v>
      </c>
    </row>
    <row r="418" spans="1:28" x14ac:dyDescent="0.3">
      <c r="A418" t="s">
        <v>582</v>
      </c>
      <c r="B418" t="s">
        <v>2015</v>
      </c>
      <c r="C418" t="s">
        <v>3077</v>
      </c>
      <c r="D418" t="s">
        <v>44</v>
      </c>
      <c r="E418" s="1">
        <v>46055</v>
      </c>
      <c r="F418">
        <v>40</v>
      </c>
      <c r="G418">
        <v>1</v>
      </c>
      <c r="H418">
        <v>51</v>
      </c>
      <c r="I418">
        <v>2</v>
      </c>
      <c r="J418" t="s">
        <v>3058</v>
      </c>
      <c r="K418" t="s">
        <v>1338</v>
      </c>
      <c r="L418" t="s">
        <v>712</v>
      </c>
      <c r="M418" s="3" t="str">
        <f>HYPERLINK("https://ovidsp.ovid.com/ovidweb.cgi?T=JS&amp;NEWS=n&amp;CSC=Y&amp;PAGE=toc&amp;D=yrovft&amp;AN=00006205-000000000-00000","https://ovidsp.ovid.com/ovidweb.cgi?T=JS&amp;NEWS=n&amp;CSC=Y&amp;PAGE=toc&amp;D=yrovft&amp;AN=00006205-000000000-00000")</f>
        <v>https://ovidsp.ovid.com/ovidweb.cgi?T=JS&amp;NEWS=n&amp;CSC=Y&amp;PAGE=toc&amp;D=yrovft&amp;AN=00006205-000000000-00000</v>
      </c>
      <c r="N418" t="s">
        <v>83</v>
      </c>
      <c r="O418" t="s">
        <v>2151</v>
      </c>
      <c r="P418" t="s">
        <v>2431</v>
      </c>
      <c r="Q418">
        <v>1428052</v>
      </c>
      <c r="R418" t="s">
        <v>207</v>
      </c>
      <c r="S418" t="s">
        <v>84</v>
      </c>
      <c r="T418" t="s">
        <v>2152</v>
      </c>
      <c r="U418" t="s">
        <v>349</v>
      </c>
      <c r="V418" t="b">
        <v>0</v>
      </c>
      <c r="W418" t="s">
        <v>2022</v>
      </c>
      <c r="X418" t="b">
        <v>0</v>
      </c>
      <c r="Y418" t="s">
        <v>2022</v>
      </c>
      <c r="Z418" t="s">
        <v>478</v>
      </c>
      <c r="AA418" t="s">
        <v>192</v>
      </c>
      <c r="AB418" t="s">
        <v>192</v>
      </c>
    </row>
    <row r="419" spans="1:28" x14ac:dyDescent="0.3">
      <c r="A419" t="s">
        <v>394</v>
      </c>
      <c r="B419" t="s">
        <v>78</v>
      </c>
      <c r="C419" t="s">
        <v>3121</v>
      </c>
      <c r="D419" t="s">
        <v>44</v>
      </c>
      <c r="E419" s="1">
        <v>46055</v>
      </c>
      <c r="F419">
        <v>8</v>
      </c>
      <c r="G419">
        <v>1</v>
      </c>
      <c r="H419">
        <v>11</v>
      </c>
      <c r="I419">
        <v>1</v>
      </c>
      <c r="J419" t="s">
        <v>260</v>
      </c>
      <c r="K419" t="s">
        <v>2380</v>
      </c>
      <c r="L419" t="s">
        <v>1613</v>
      </c>
      <c r="M419" s="3" t="str">
        <f>HYPERLINK("https://ovidsp.ovid.com/ovidweb.cgi?T=JS&amp;NEWS=n&amp;CSC=Y&amp;PAGE=toc&amp;D=yrovft&amp;AN=00042423-000000000-00000","https://ovidsp.ovid.com/ovidweb.cgi?T=JS&amp;NEWS=n&amp;CSC=Y&amp;PAGE=toc&amp;D=yrovft&amp;AN=00042423-000000000-00000")</f>
        <v>https://ovidsp.ovid.com/ovidweb.cgi?T=JS&amp;NEWS=n&amp;CSC=Y&amp;PAGE=toc&amp;D=yrovft&amp;AN=00042423-000000000-00000</v>
      </c>
      <c r="N419" t="s">
        <v>2022</v>
      </c>
      <c r="O419" t="s">
        <v>2151</v>
      </c>
      <c r="P419" t="s">
        <v>2431</v>
      </c>
      <c r="Q419">
        <v>1428052</v>
      </c>
      <c r="R419" t="s">
        <v>1562</v>
      </c>
      <c r="S419" t="s">
        <v>84</v>
      </c>
      <c r="T419" t="s">
        <v>2152</v>
      </c>
      <c r="U419" t="s">
        <v>702</v>
      </c>
      <c r="V419" t="b">
        <v>0</v>
      </c>
      <c r="W419" t="s">
        <v>2022</v>
      </c>
      <c r="X419" t="b">
        <v>0</v>
      </c>
      <c r="Y419" t="s">
        <v>2022</v>
      </c>
      <c r="Z419" t="s">
        <v>1351</v>
      </c>
      <c r="AA419" t="s">
        <v>192</v>
      </c>
      <c r="AB419" t="s">
        <v>192</v>
      </c>
    </row>
    <row r="420" spans="1:28" x14ac:dyDescent="0.3">
      <c r="A420" t="s">
        <v>96</v>
      </c>
      <c r="B420" t="s">
        <v>979</v>
      </c>
      <c r="C420" t="s">
        <v>2917</v>
      </c>
      <c r="D420" t="s">
        <v>44</v>
      </c>
      <c r="E420" s="1">
        <v>46055</v>
      </c>
      <c r="F420">
        <v>37</v>
      </c>
      <c r="G420">
        <v>1</v>
      </c>
      <c r="H420">
        <v>48</v>
      </c>
      <c r="I420">
        <v>1</v>
      </c>
      <c r="J420" t="s">
        <v>1878</v>
      </c>
      <c r="K420" t="s">
        <v>1525</v>
      </c>
      <c r="L420" t="s">
        <v>712</v>
      </c>
      <c r="M420" s="3" t="str">
        <f>HYPERLINK("https://ovidsp.ovid.com/ovidweb.cgi?T=JS&amp;NEWS=n&amp;CSC=Y&amp;PAGE=toc&amp;D=yrovft&amp;AN=00007691-000000000-00000","https://ovidsp.ovid.com/ovidweb.cgi?T=JS&amp;NEWS=n&amp;CSC=Y&amp;PAGE=toc&amp;D=yrovft&amp;AN=00007691-000000000-00000")</f>
        <v>https://ovidsp.ovid.com/ovidweb.cgi?T=JS&amp;NEWS=n&amp;CSC=Y&amp;PAGE=toc&amp;D=yrovft&amp;AN=00007691-000000000-00000</v>
      </c>
      <c r="N420" t="s">
        <v>64</v>
      </c>
      <c r="O420" t="s">
        <v>2151</v>
      </c>
      <c r="P420" t="s">
        <v>2431</v>
      </c>
      <c r="Q420">
        <v>1428052</v>
      </c>
      <c r="R420" t="s">
        <v>2958</v>
      </c>
      <c r="S420" t="s">
        <v>84</v>
      </c>
      <c r="T420" t="s">
        <v>2152</v>
      </c>
      <c r="U420" t="s">
        <v>3084</v>
      </c>
      <c r="V420" t="b">
        <v>1</v>
      </c>
      <c r="W420" t="s">
        <v>250</v>
      </c>
      <c r="X420" t="b">
        <v>0</v>
      </c>
      <c r="Y420" t="s">
        <v>2022</v>
      </c>
      <c r="Z420" t="s">
        <v>1787</v>
      </c>
      <c r="AA420" t="s">
        <v>192</v>
      </c>
      <c r="AB420" t="s">
        <v>192</v>
      </c>
    </row>
    <row r="421" spans="1:28" x14ac:dyDescent="0.3">
      <c r="A421" t="s">
        <v>2112</v>
      </c>
      <c r="B421" t="s">
        <v>1063</v>
      </c>
      <c r="C421" t="s">
        <v>3066</v>
      </c>
      <c r="D421" t="s">
        <v>44</v>
      </c>
      <c r="E421" s="1">
        <v>46055</v>
      </c>
      <c r="F421">
        <v>30</v>
      </c>
      <c r="G421">
        <v>1</v>
      </c>
      <c r="H421">
        <v>41</v>
      </c>
      <c r="I421">
        <v>1</v>
      </c>
      <c r="J421" t="s">
        <v>672</v>
      </c>
      <c r="K421" t="s">
        <v>1959</v>
      </c>
      <c r="L421" t="s">
        <v>2919</v>
      </c>
      <c r="M421" s="3" t="str">
        <f>HYPERLINK("https://ovidsp.ovid.com/ovidweb.cgi?T=JS&amp;NEWS=n&amp;CSC=Y&amp;PAGE=toc&amp;D=yrovft&amp;AN=00008486-000000000-00000","https://ovidsp.ovid.com/ovidweb.cgi?T=JS&amp;NEWS=n&amp;CSC=Y&amp;PAGE=toc&amp;D=yrovft&amp;AN=00008486-000000000-00000")</f>
        <v>https://ovidsp.ovid.com/ovidweb.cgi?T=JS&amp;NEWS=n&amp;CSC=Y&amp;PAGE=toc&amp;D=yrovft&amp;AN=00008486-000000000-00000</v>
      </c>
      <c r="N421" t="s">
        <v>135</v>
      </c>
      <c r="O421" t="s">
        <v>2151</v>
      </c>
      <c r="P421" t="s">
        <v>2431</v>
      </c>
      <c r="Q421">
        <v>1428052</v>
      </c>
      <c r="R421" t="s">
        <v>1225</v>
      </c>
      <c r="S421" t="s">
        <v>84</v>
      </c>
      <c r="T421" t="s">
        <v>2152</v>
      </c>
      <c r="U421" t="s">
        <v>2617</v>
      </c>
      <c r="V421" t="b">
        <v>1</v>
      </c>
      <c r="W421" t="s">
        <v>2673</v>
      </c>
      <c r="X421" t="b">
        <v>0</v>
      </c>
      <c r="Y421" t="s">
        <v>2022</v>
      </c>
      <c r="Z421" t="s">
        <v>2944</v>
      </c>
      <c r="AA421" t="s">
        <v>192</v>
      </c>
      <c r="AB421" t="s">
        <v>192</v>
      </c>
    </row>
    <row r="422" spans="1:28" x14ac:dyDescent="0.3">
      <c r="A422" t="s">
        <v>1808</v>
      </c>
      <c r="B422" t="s">
        <v>412</v>
      </c>
      <c r="C422" t="s">
        <v>1998</v>
      </c>
      <c r="D422" t="s">
        <v>44</v>
      </c>
      <c r="E422" s="1">
        <v>46055</v>
      </c>
      <c r="F422">
        <v>31</v>
      </c>
      <c r="G422">
        <v>1</v>
      </c>
      <c r="H422">
        <v>42</v>
      </c>
      <c r="I422">
        <v>1</v>
      </c>
      <c r="J422" t="s">
        <v>672</v>
      </c>
      <c r="K422" t="s">
        <v>1959</v>
      </c>
      <c r="L422" t="s">
        <v>2919</v>
      </c>
      <c r="M422" s="3" t="str">
        <f>HYPERLINK("https://ovidsp.ovid.com/ovidweb.cgi?T=JS&amp;NEWS=n&amp;CSC=Y&amp;PAGE=toc&amp;D=yrovft&amp;AN=00013614-000000000-00000","https://ovidsp.ovid.com/ovidweb.cgi?T=JS&amp;NEWS=n&amp;CSC=Y&amp;PAGE=toc&amp;D=yrovft&amp;AN=00013614-000000000-00000")</f>
        <v>https://ovidsp.ovid.com/ovidweb.cgi?T=JS&amp;NEWS=n&amp;CSC=Y&amp;PAGE=toc&amp;D=yrovft&amp;AN=00013614-000000000-00000</v>
      </c>
      <c r="N422" t="s">
        <v>3116</v>
      </c>
      <c r="O422" t="s">
        <v>2151</v>
      </c>
      <c r="P422" t="s">
        <v>2431</v>
      </c>
      <c r="Q422">
        <v>1428052</v>
      </c>
      <c r="R422" t="s">
        <v>364</v>
      </c>
      <c r="S422" t="s">
        <v>84</v>
      </c>
      <c r="T422" t="s">
        <v>2152</v>
      </c>
      <c r="U422" t="s">
        <v>2898</v>
      </c>
      <c r="V422" t="b">
        <v>0</v>
      </c>
      <c r="W422" t="s">
        <v>2022</v>
      </c>
      <c r="X422" t="b">
        <v>0</v>
      </c>
      <c r="Y422" t="s">
        <v>2022</v>
      </c>
      <c r="Z422" t="s">
        <v>118</v>
      </c>
      <c r="AA422" t="s">
        <v>192</v>
      </c>
      <c r="AB422" t="s">
        <v>192</v>
      </c>
    </row>
    <row r="423" spans="1:28" x14ac:dyDescent="0.3">
      <c r="A423" t="s">
        <v>711</v>
      </c>
      <c r="B423" t="s">
        <v>1504</v>
      </c>
      <c r="C423" t="s">
        <v>522</v>
      </c>
      <c r="D423" t="s">
        <v>44</v>
      </c>
      <c r="E423" s="1">
        <v>46055</v>
      </c>
      <c r="F423">
        <v>35</v>
      </c>
      <c r="G423">
        <v>1</v>
      </c>
      <c r="H423">
        <v>45</v>
      </c>
      <c r="I423">
        <v>4</v>
      </c>
      <c r="J423" t="s">
        <v>2269</v>
      </c>
      <c r="K423" t="s">
        <v>1959</v>
      </c>
      <c r="L423" t="s">
        <v>2802</v>
      </c>
      <c r="M423" s="3" t="str">
        <f>HYPERLINK("https://ovidsp.ovid.com/ovidweb.cgi?T=JS&amp;NEWS=n&amp;CSC=Y&amp;PAGE=toc&amp;D=yrovft&amp;AN=00011363-000000000-00000","https://ovidsp.ovid.com/ovidweb.cgi?T=JS&amp;NEWS=n&amp;CSC=Y&amp;PAGE=toc&amp;D=yrovft&amp;AN=00011363-000000000-00000")</f>
        <v>https://ovidsp.ovid.com/ovidweb.cgi?T=JS&amp;NEWS=n&amp;CSC=Y&amp;PAGE=toc&amp;D=yrovft&amp;AN=00011363-000000000-00000</v>
      </c>
      <c r="N423" t="s">
        <v>1628</v>
      </c>
      <c r="O423" t="s">
        <v>2151</v>
      </c>
      <c r="P423" t="s">
        <v>2431</v>
      </c>
      <c r="Q423">
        <v>1428052</v>
      </c>
      <c r="R423" t="s">
        <v>1215</v>
      </c>
      <c r="S423" t="s">
        <v>84</v>
      </c>
      <c r="T423" t="s">
        <v>2152</v>
      </c>
      <c r="U423" t="s">
        <v>1900</v>
      </c>
      <c r="V423" t="b">
        <v>0</v>
      </c>
      <c r="W423" t="s">
        <v>2022</v>
      </c>
      <c r="X423" t="b">
        <v>0</v>
      </c>
      <c r="Y423" t="s">
        <v>2022</v>
      </c>
      <c r="Z423" t="s">
        <v>831</v>
      </c>
      <c r="AA423" t="s">
        <v>192</v>
      </c>
      <c r="AB423" t="s">
        <v>192</v>
      </c>
    </row>
    <row r="424" spans="1:28" x14ac:dyDescent="0.3">
      <c r="A424" t="s">
        <v>1716</v>
      </c>
      <c r="B424" t="s">
        <v>2022</v>
      </c>
      <c r="C424" t="s">
        <v>3134</v>
      </c>
      <c r="D424" t="s">
        <v>44</v>
      </c>
      <c r="E424" s="1">
        <v>46055</v>
      </c>
      <c r="F424">
        <v>1</v>
      </c>
      <c r="G424">
        <v>1</v>
      </c>
      <c r="H424">
        <v>34</v>
      </c>
      <c r="I424">
        <v>3</v>
      </c>
      <c r="J424" t="s">
        <v>529</v>
      </c>
      <c r="K424" t="s">
        <v>391</v>
      </c>
      <c r="L424" t="s">
        <v>2802</v>
      </c>
      <c r="M424" s="3" t="str">
        <f>HYPERLINK("https://ovidsp.ovid.com/ovidweb.cgi?T=JS&amp;NEWS=n&amp;CSC=Y&amp;PAGE=toc&amp;D=yrovft&amp;AN=00002142-000000000-00000","https://ovidsp.ovid.com/ovidweb.cgi?T=JS&amp;NEWS=n&amp;CSC=Y&amp;PAGE=toc&amp;D=yrovft&amp;AN=00002142-000000000-00000")</f>
        <v>https://ovidsp.ovid.com/ovidweb.cgi?T=JS&amp;NEWS=n&amp;CSC=Y&amp;PAGE=toc&amp;D=yrovft&amp;AN=00002142-000000000-00000</v>
      </c>
      <c r="N424" t="s">
        <v>85</v>
      </c>
      <c r="O424" t="s">
        <v>2151</v>
      </c>
      <c r="P424" t="s">
        <v>2431</v>
      </c>
      <c r="Q424">
        <v>1428052</v>
      </c>
      <c r="R424" t="s">
        <v>1859</v>
      </c>
      <c r="S424" t="s">
        <v>84</v>
      </c>
      <c r="T424" t="s">
        <v>2152</v>
      </c>
      <c r="U424" t="s">
        <v>1210</v>
      </c>
      <c r="V424" t="b">
        <v>0</v>
      </c>
      <c r="W424" t="s">
        <v>2022</v>
      </c>
      <c r="X424" t="b">
        <v>0</v>
      </c>
      <c r="Y424" t="s">
        <v>2022</v>
      </c>
      <c r="Z424" t="s">
        <v>831</v>
      </c>
      <c r="AA424" t="s">
        <v>192</v>
      </c>
      <c r="AB424" t="s">
        <v>192</v>
      </c>
    </row>
    <row r="425" spans="1:28" x14ac:dyDescent="0.3">
      <c r="A425" t="s">
        <v>2267</v>
      </c>
      <c r="B425" t="s">
        <v>398</v>
      </c>
      <c r="C425" t="s">
        <v>72</v>
      </c>
      <c r="D425" t="s">
        <v>44</v>
      </c>
      <c r="E425" s="1">
        <v>46055</v>
      </c>
      <c r="F425">
        <v>36</v>
      </c>
      <c r="G425">
        <v>1</v>
      </c>
      <c r="H425">
        <v>46</v>
      </c>
      <c r="I425">
        <v>3</v>
      </c>
      <c r="J425" t="s">
        <v>814</v>
      </c>
      <c r="K425" t="s">
        <v>110</v>
      </c>
      <c r="L425" t="s">
        <v>569</v>
      </c>
      <c r="M425" s="3" t="str">
        <f>HYPERLINK("https://ovidsp.ovid.com/ovidweb.cgi?T=JS&amp;NEWS=n&amp;CSC=Y&amp;PAGE=toc&amp;D=yrovft&amp;AN=01938899-000000000-00000","https://ovidsp.ovid.com/ovidweb.cgi?T=JS&amp;NEWS=n&amp;CSC=Y&amp;PAGE=toc&amp;D=yrovft&amp;AN=01938899-000000000-00000")</f>
        <v>https://ovidsp.ovid.com/ovidweb.cgi?T=JS&amp;NEWS=n&amp;CSC=Y&amp;PAGE=toc&amp;D=yrovft&amp;AN=01938899-000000000-00000</v>
      </c>
      <c r="N425" t="s">
        <v>201</v>
      </c>
      <c r="O425" t="s">
        <v>2151</v>
      </c>
      <c r="P425" t="s">
        <v>2431</v>
      </c>
      <c r="Q425">
        <v>1428052</v>
      </c>
      <c r="R425" t="s">
        <v>2552</v>
      </c>
      <c r="S425" t="s">
        <v>84</v>
      </c>
      <c r="T425" t="s">
        <v>2152</v>
      </c>
      <c r="U425" t="s">
        <v>2901</v>
      </c>
      <c r="V425" t="b">
        <v>0</v>
      </c>
      <c r="W425" t="s">
        <v>2022</v>
      </c>
      <c r="X425" t="b">
        <v>0</v>
      </c>
      <c r="Y425" t="s">
        <v>2022</v>
      </c>
      <c r="Z425" t="s">
        <v>2196</v>
      </c>
      <c r="AA425" t="s">
        <v>192</v>
      </c>
      <c r="AB425" t="s">
        <v>192</v>
      </c>
    </row>
    <row r="426" spans="1:28" x14ac:dyDescent="0.3">
      <c r="A426" t="s">
        <v>191</v>
      </c>
      <c r="B426" t="s">
        <v>1537</v>
      </c>
      <c r="C426" t="s">
        <v>2022</v>
      </c>
      <c r="D426" t="s">
        <v>44</v>
      </c>
      <c r="E426" s="1">
        <v>46055</v>
      </c>
      <c r="F426">
        <v>30</v>
      </c>
      <c r="G426">
        <v>6</v>
      </c>
      <c r="H426">
        <v>41</v>
      </c>
      <c r="I426">
        <v>5</v>
      </c>
      <c r="J426" t="s">
        <v>1451</v>
      </c>
      <c r="K426" t="s">
        <v>1959</v>
      </c>
      <c r="L426" t="s">
        <v>2771</v>
      </c>
      <c r="M426" s="3" t="str">
        <f>HYPERLINK("https://ovidsp.ovid.com/ovidweb.cgi?T=JS&amp;NEWS=n&amp;CSC=Y&amp;PAGE=toc&amp;D=yrovft&amp;AN=00587875-000000000-00000","https://ovidsp.ovid.com/ovidweb.cgi?T=JS&amp;NEWS=n&amp;CSC=Y&amp;PAGE=toc&amp;D=yrovft&amp;AN=00587875-000000000-00000")</f>
        <v>https://ovidsp.ovid.com/ovidweb.cgi?T=JS&amp;NEWS=n&amp;CSC=Y&amp;PAGE=toc&amp;D=yrovft&amp;AN=00587875-000000000-00000</v>
      </c>
      <c r="N426" t="s">
        <v>2358</v>
      </c>
      <c r="O426" t="s">
        <v>2151</v>
      </c>
      <c r="P426" t="s">
        <v>2431</v>
      </c>
      <c r="Q426">
        <v>1428052</v>
      </c>
      <c r="R426" t="s">
        <v>770</v>
      </c>
      <c r="S426" t="s">
        <v>84</v>
      </c>
      <c r="T426" t="s">
        <v>2152</v>
      </c>
      <c r="U426" t="s">
        <v>2614</v>
      </c>
      <c r="V426" t="b">
        <v>0</v>
      </c>
      <c r="W426" t="s">
        <v>2022</v>
      </c>
      <c r="X426" t="b">
        <v>0</v>
      </c>
      <c r="Y426" t="s">
        <v>2022</v>
      </c>
      <c r="Z426" t="s">
        <v>1351</v>
      </c>
      <c r="AA426" t="s">
        <v>192</v>
      </c>
      <c r="AB426" t="s">
        <v>192</v>
      </c>
    </row>
    <row r="427" spans="1:28" x14ac:dyDescent="0.3">
      <c r="A427" t="s">
        <v>73</v>
      </c>
      <c r="B427" t="s">
        <v>2022</v>
      </c>
      <c r="C427" t="s">
        <v>1250</v>
      </c>
      <c r="D427" t="s">
        <v>44</v>
      </c>
      <c r="E427" s="1">
        <v>46055</v>
      </c>
      <c r="F427">
        <v>1</v>
      </c>
      <c r="G427">
        <v>1</v>
      </c>
      <c r="H427">
        <v>11</v>
      </c>
      <c r="I427" t="s">
        <v>1502</v>
      </c>
      <c r="J427" t="s">
        <v>925</v>
      </c>
      <c r="K427" t="s">
        <v>1597</v>
      </c>
      <c r="L427" t="s">
        <v>2477</v>
      </c>
      <c r="M427" s="3" t="str">
        <f>HYPERLINK("https://ovidsp.ovid.com/ovidweb.cgi?T=JS&amp;NEWS=n&amp;CSC=Y&amp;PAGE=toc&amp;D=yrovft&amp;AN=01933607-000000000-00000","https://ovidsp.ovid.com/ovidweb.cgi?T=JS&amp;NEWS=n&amp;CSC=Y&amp;PAGE=toc&amp;D=yrovft&amp;AN=01933607-000000000-00000")</f>
        <v>https://ovidsp.ovid.com/ovidweb.cgi?T=JS&amp;NEWS=n&amp;CSC=Y&amp;PAGE=toc&amp;D=yrovft&amp;AN=01933607-000000000-00000</v>
      </c>
      <c r="N427" t="s">
        <v>2812</v>
      </c>
      <c r="O427" t="s">
        <v>2151</v>
      </c>
      <c r="P427" t="s">
        <v>2431</v>
      </c>
      <c r="Q427">
        <v>1428052</v>
      </c>
      <c r="R427" t="s">
        <v>807</v>
      </c>
      <c r="S427" t="s">
        <v>84</v>
      </c>
      <c r="T427" t="s">
        <v>2152</v>
      </c>
      <c r="U427" t="s">
        <v>970</v>
      </c>
      <c r="V427" t="b">
        <v>0</v>
      </c>
      <c r="W427" t="s">
        <v>2022</v>
      </c>
      <c r="X427" t="b">
        <v>0</v>
      </c>
      <c r="Y427" t="s">
        <v>2022</v>
      </c>
      <c r="Z427" t="s">
        <v>831</v>
      </c>
      <c r="AA427" t="s">
        <v>192</v>
      </c>
      <c r="AB427" t="s">
        <v>192</v>
      </c>
    </row>
    <row r="428" spans="1:28" x14ac:dyDescent="0.3">
      <c r="A428" t="s">
        <v>1594</v>
      </c>
      <c r="B428" t="s">
        <v>1933</v>
      </c>
      <c r="C428" t="s">
        <v>1219</v>
      </c>
      <c r="D428" t="s">
        <v>44</v>
      </c>
      <c r="E428" s="1">
        <v>46055</v>
      </c>
      <c r="F428">
        <v>99</v>
      </c>
      <c r="G428">
        <v>2</v>
      </c>
      <c r="H428">
        <v>110</v>
      </c>
      <c r="I428">
        <v>2</v>
      </c>
      <c r="J428" t="s">
        <v>1878</v>
      </c>
      <c r="K428" t="s">
        <v>1525</v>
      </c>
      <c r="L428" t="s">
        <v>712</v>
      </c>
      <c r="M428" s="3" t="str">
        <f>HYPERLINK("https://ovidsp.ovid.com/ovidweb.cgi?T=JS&amp;NEWS=n&amp;CSC=Y&amp;PAGE=toc&amp;D=yrovft&amp;AN=00007890-000000000-00000","https://ovidsp.ovid.com/ovidweb.cgi?T=JS&amp;NEWS=n&amp;CSC=Y&amp;PAGE=toc&amp;D=yrovft&amp;AN=00007890-000000000-00000")</f>
        <v>https://ovidsp.ovid.com/ovidweb.cgi?T=JS&amp;NEWS=n&amp;CSC=Y&amp;PAGE=toc&amp;D=yrovft&amp;AN=00007890-000000000-00000</v>
      </c>
      <c r="N428" t="s">
        <v>1470</v>
      </c>
      <c r="O428" t="s">
        <v>2151</v>
      </c>
      <c r="P428" t="s">
        <v>2431</v>
      </c>
      <c r="Q428">
        <v>1428052</v>
      </c>
      <c r="R428" t="s">
        <v>1350</v>
      </c>
      <c r="S428" t="s">
        <v>84</v>
      </c>
      <c r="T428" t="s">
        <v>2152</v>
      </c>
      <c r="U428" t="s">
        <v>3149</v>
      </c>
      <c r="V428" t="b">
        <v>1</v>
      </c>
      <c r="W428" t="s">
        <v>170</v>
      </c>
      <c r="X428" t="b">
        <v>0</v>
      </c>
      <c r="Y428" t="s">
        <v>2022</v>
      </c>
      <c r="Z428" t="s">
        <v>1413</v>
      </c>
      <c r="AA428" t="s">
        <v>192</v>
      </c>
      <c r="AB428" t="s">
        <v>192</v>
      </c>
    </row>
    <row r="429" spans="1:28" x14ac:dyDescent="0.3">
      <c r="A429" t="s">
        <v>184</v>
      </c>
      <c r="B429" t="s">
        <v>2022</v>
      </c>
      <c r="C429" t="s">
        <v>268</v>
      </c>
      <c r="D429" t="s">
        <v>44</v>
      </c>
      <c r="E429" s="1">
        <v>46055</v>
      </c>
      <c r="F429">
        <v>1</v>
      </c>
      <c r="G429">
        <v>1</v>
      </c>
      <c r="H429">
        <v>12</v>
      </c>
      <c r="I429">
        <v>2</v>
      </c>
      <c r="J429" t="s">
        <v>1878</v>
      </c>
      <c r="K429" t="s">
        <v>1525</v>
      </c>
      <c r="L429" t="s">
        <v>712</v>
      </c>
      <c r="M429" s="3" t="str">
        <f>HYPERLINK("https://ovidsp.ovid.com/ovidweb.cgi?T=JS&amp;NEWS=n&amp;CSC=Y&amp;PAGE=toc&amp;D=yrovft&amp;AN=01845228-000000000-00000","https://ovidsp.ovid.com/ovidweb.cgi?T=JS&amp;NEWS=n&amp;CSC=Y&amp;PAGE=toc&amp;D=yrovft&amp;AN=01845228-000000000-00000")</f>
        <v>https://ovidsp.ovid.com/ovidweb.cgi?T=JS&amp;NEWS=n&amp;CSC=Y&amp;PAGE=toc&amp;D=yrovft&amp;AN=01845228-000000000-00000</v>
      </c>
      <c r="N429" t="s">
        <v>1806</v>
      </c>
      <c r="O429" t="s">
        <v>2151</v>
      </c>
      <c r="P429" t="s">
        <v>2431</v>
      </c>
      <c r="Q429">
        <v>1428052</v>
      </c>
      <c r="R429" t="s">
        <v>2989</v>
      </c>
      <c r="S429" t="s">
        <v>84</v>
      </c>
      <c r="T429" t="s">
        <v>2152</v>
      </c>
      <c r="U429" t="s">
        <v>1192</v>
      </c>
      <c r="V429" t="b">
        <v>0</v>
      </c>
      <c r="W429" t="s">
        <v>2022</v>
      </c>
      <c r="X429" t="b">
        <v>0</v>
      </c>
      <c r="Y429" t="s">
        <v>2022</v>
      </c>
      <c r="Z429" t="s">
        <v>1413</v>
      </c>
      <c r="AA429" t="s">
        <v>192</v>
      </c>
      <c r="AB429" t="s">
        <v>192</v>
      </c>
    </row>
    <row r="430" spans="1:28" x14ac:dyDescent="0.3">
      <c r="A430" t="s">
        <v>326</v>
      </c>
      <c r="B430" t="s">
        <v>2022</v>
      </c>
      <c r="C430" t="s">
        <v>2745</v>
      </c>
      <c r="D430" t="s">
        <v>44</v>
      </c>
      <c r="E430" s="1">
        <v>46055</v>
      </c>
      <c r="F430">
        <v>31</v>
      </c>
      <c r="G430">
        <v>1</v>
      </c>
      <c r="H430">
        <v>42</v>
      </c>
      <c r="I430">
        <v>1</v>
      </c>
      <c r="J430" t="s">
        <v>1570</v>
      </c>
      <c r="K430" t="s">
        <v>2249</v>
      </c>
      <c r="L430" t="s">
        <v>2441</v>
      </c>
      <c r="M430" s="3" t="str">
        <f>HYPERLINK("https://ovidsp.ovid.com/ovidweb.cgi?T=JS&amp;NEWS=n&amp;CSC=Y&amp;PAGE=toc&amp;D=yrovft&amp;AN=00013644-000000000-00000","https://ovidsp.ovid.com/ovidweb.cgi?T=JS&amp;NEWS=n&amp;CSC=Y&amp;PAGE=toc&amp;D=yrovft&amp;AN=00013644-000000000-00000")</f>
        <v>https://ovidsp.ovid.com/ovidweb.cgi?T=JS&amp;NEWS=n&amp;CSC=Y&amp;PAGE=toc&amp;D=yrovft&amp;AN=00013644-000000000-00000</v>
      </c>
      <c r="N430" t="s">
        <v>2587</v>
      </c>
      <c r="O430" t="s">
        <v>2151</v>
      </c>
      <c r="P430" t="s">
        <v>2431</v>
      </c>
      <c r="Q430">
        <v>1428052</v>
      </c>
      <c r="R430" t="s">
        <v>1377</v>
      </c>
      <c r="S430" t="s">
        <v>84</v>
      </c>
      <c r="T430" t="s">
        <v>2152</v>
      </c>
      <c r="U430" t="s">
        <v>1560</v>
      </c>
      <c r="V430" t="b">
        <v>0</v>
      </c>
      <c r="W430" t="s">
        <v>2022</v>
      </c>
      <c r="X430" t="b">
        <v>0</v>
      </c>
      <c r="Y430" t="s">
        <v>2022</v>
      </c>
      <c r="Z430" t="s">
        <v>831</v>
      </c>
      <c r="AA430" t="s">
        <v>192</v>
      </c>
      <c r="AB430" t="s">
        <v>192</v>
      </c>
    </row>
    <row r="431" spans="1:28" x14ac:dyDescent="0.3">
      <c r="A431" t="s">
        <v>1629</v>
      </c>
      <c r="B431" t="s">
        <v>2022</v>
      </c>
      <c r="C431" t="s">
        <v>43</v>
      </c>
      <c r="D431" t="s">
        <v>44</v>
      </c>
      <c r="E431" s="1">
        <v>46055</v>
      </c>
      <c r="F431">
        <v>28</v>
      </c>
      <c r="G431">
        <v>8</v>
      </c>
      <c r="H431">
        <v>32</v>
      </c>
      <c r="I431">
        <v>2</v>
      </c>
      <c r="J431" t="s">
        <v>2118</v>
      </c>
      <c r="K431" t="s">
        <v>2330</v>
      </c>
      <c r="L431" t="s">
        <v>712</v>
      </c>
      <c r="M431" s="3" t="str">
        <f>HYPERLINK("https://ovidsp.ovid.com/ovidweb.cgi?T=JS&amp;NEWS=n&amp;CSC=Y&amp;PAGE=toc&amp;D=yrovft&amp;AN=02273501-000000000-00000","https://ovidsp.ovid.com/ovidweb.cgi?T=JS&amp;NEWS=n&amp;CSC=Y&amp;PAGE=toc&amp;D=yrovft&amp;AN=02273501-000000000-00000")</f>
        <v>https://ovidsp.ovid.com/ovidweb.cgi?T=JS&amp;NEWS=n&amp;CSC=Y&amp;PAGE=toc&amp;D=yrovft&amp;AN=02273501-000000000-00000</v>
      </c>
      <c r="N431" t="s">
        <v>2214</v>
      </c>
      <c r="O431" t="s">
        <v>2151</v>
      </c>
      <c r="P431" t="s">
        <v>2431</v>
      </c>
      <c r="Q431">
        <v>1428052</v>
      </c>
      <c r="R431" t="s">
        <v>2107</v>
      </c>
      <c r="S431" t="s">
        <v>84</v>
      </c>
      <c r="T431" t="s">
        <v>2152</v>
      </c>
      <c r="U431" t="s">
        <v>1904</v>
      </c>
      <c r="V431" t="b">
        <v>1</v>
      </c>
      <c r="W431" t="s">
        <v>1251</v>
      </c>
      <c r="X431" t="b">
        <v>0</v>
      </c>
      <c r="Y431" t="s">
        <v>2022</v>
      </c>
      <c r="Z431" t="s">
        <v>2022</v>
      </c>
      <c r="AA431" t="s">
        <v>192</v>
      </c>
      <c r="AB431" t="s">
        <v>192</v>
      </c>
    </row>
    <row r="432" spans="1:28" x14ac:dyDescent="0.3">
      <c r="A432" t="s">
        <v>1571</v>
      </c>
      <c r="B432" t="s">
        <v>1918</v>
      </c>
      <c r="C432" t="s">
        <v>2687</v>
      </c>
      <c r="D432" t="s">
        <v>44</v>
      </c>
      <c r="E432" s="1">
        <v>46055</v>
      </c>
      <c r="F432">
        <v>29</v>
      </c>
      <c r="G432">
        <v>1</v>
      </c>
      <c r="H432">
        <v>36</v>
      </c>
      <c r="I432">
        <v>4</v>
      </c>
      <c r="J432" t="s">
        <v>1214</v>
      </c>
      <c r="K432" t="s">
        <v>617</v>
      </c>
      <c r="L432" t="s">
        <v>2771</v>
      </c>
      <c r="M432" s="3" t="str">
        <f>HYPERLINK("https://ovidsp.ovid.com/ovidweb.cgi?T=JS&amp;NEWS=n&amp;CSC=Y&amp;PAGE=toc&amp;D=yrovft&amp;AN=01670164-000000000-00000","https://ovidsp.ovid.com/ovidweb.cgi?T=JS&amp;NEWS=n&amp;CSC=Y&amp;PAGE=toc&amp;D=yrovft&amp;AN=01670164-000000000-00000")</f>
        <v>https://ovidsp.ovid.com/ovidweb.cgi?T=JS&amp;NEWS=n&amp;CSC=Y&amp;PAGE=toc&amp;D=yrovft&amp;AN=01670164-000000000-00000</v>
      </c>
      <c r="N432" t="s">
        <v>366</v>
      </c>
      <c r="O432" t="s">
        <v>2151</v>
      </c>
      <c r="P432" t="s">
        <v>2431</v>
      </c>
      <c r="Q432">
        <v>1428052</v>
      </c>
      <c r="R432" t="s">
        <v>842</v>
      </c>
      <c r="S432" t="s">
        <v>84</v>
      </c>
      <c r="T432" t="s">
        <v>2152</v>
      </c>
      <c r="U432" t="s">
        <v>778</v>
      </c>
      <c r="V432" t="b">
        <v>1</v>
      </c>
      <c r="W432" t="s">
        <v>1993</v>
      </c>
      <c r="X432" t="b">
        <v>0</v>
      </c>
      <c r="Y432" t="s">
        <v>2022</v>
      </c>
      <c r="Z432" t="s">
        <v>1351</v>
      </c>
      <c r="AA432" t="s">
        <v>192</v>
      </c>
      <c r="AB432" t="s">
        <v>192</v>
      </c>
    </row>
    <row r="433" spans="1:28" x14ac:dyDescent="0.3">
      <c r="A433" t="s">
        <v>2462</v>
      </c>
      <c r="B433" t="s">
        <v>2426</v>
      </c>
      <c r="C433" t="s">
        <v>1146</v>
      </c>
      <c r="D433" t="s">
        <v>44</v>
      </c>
      <c r="E433" s="1">
        <v>46055</v>
      </c>
      <c r="F433">
        <v>1</v>
      </c>
      <c r="G433">
        <v>1</v>
      </c>
      <c r="H433">
        <v>13</v>
      </c>
      <c r="I433">
        <v>1</v>
      </c>
      <c r="J433" t="s">
        <v>547</v>
      </c>
      <c r="K433" t="s">
        <v>476</v>
      </c>
      <c r="L433" t="s">
        <v>2919</v>
      </c>
      <c r="M433" s="3" t="str">
        <f>HYPERLINK("https://ovidsp.ovid.com/ovidweb.cgi?T=JS&amp;NEWS=n&amp;CSC=Y&amp;PAGE=toc&amp;D=yrovft&amp;AN=01821703-000000000-00000","https://ovidsp.ovid.com/ovidweb.cgi?T=JS&amp;NEWS=n&amp;CSC=Y&amp;PAGE=toc&amp;D=yrovft&amp;AN=01821703-000000000-00000")</f>
        <v>https://ovidsp.ovid.com/ovidweb.cgi?T=JS&amp;NEWS=n&amp;CSC=Y&amp;PAGE=toc&amp;D=yrovft&amp;AN=01821703-000000000-00000</v>
      </c>
      <c r="N433" t="s">
        <v>1529</v>
      </c>
      <c r="O433" t="s">
        <v>2151</v>
      </c>
      <c r="P433" t="s">
        <v>2431</v>
      </c>
      <c r="Q433">
        <v>1428052</v>
      </c>
      <c r="R433" t="s">
        <v>68</v>
      </c>
      <c r="S433" t="s">
        <v>84</v>
      </c>
      <c r="T433" t="s">
        <v>2152</v>
      </c>
      <c r="U433" t="s">
        <v>1339</v>
      </c>
      <c r="V433" t="b">
        <v>0</v>
      </c>
      <c r="W433" t="s">
        <v>2022</v>
      </c>
      <c r="X433" t="b">
        <v>0</v>
      </c>
      <c r="Y433" t="s">
        <v>2022</v>
      </c>
      <c r="Z433" t="s">
        <v>1351</v>
      </c>
      <c r="AA433" t="s">
        <v>192</v>
      </c>
      <c r="AB433" t="s">
        <v>192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S2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40.6640625" bestFit="1" customWidth="1"/>
    <col min="2" max="2" width="16" bestFit="1" customWidth="1"/>
    <col min="3" max="3" width="16.77734375" bestFit="1" customWidth="1"/>
    <col min="4" max="4" width="13.109375" bestFit="1" customWidth="1"/>
    <col min="5" max="5" width="21.109375" bestFit="1" customWidth="1"/>
    <col min="6" max="6" width="10.33203125" bestFit="1" customWidth="1"/>
    <col min="7" max="7" width="10.6640625" bestFit="1" customWidth="1"/>
    <col min="8" max="8" width="95" bestFit="1" customWidth="1"/>
    <col min="9" max="9" width="59" bestFit="1" customWidth="1"/>
    <col min="10" max="10" width="12" bestFit="1" customWidth="1"/>
    <col min="11" max="11" width="8" bestFit="1" customWidth="1"/>
    <col min="12" max="13" width="12.109375" bestFit="1" customWidth="1"/>
    <col min="14" max="14" width="12.5546875" bestFit="1" customWidth="1"/>
    <col min="15" max="15" width="20.5546875" bestFit="1" customWidth="1"/>
    <col min="16" max="16" width="10.33203125" bestFit="1" customWidth="1"/>
    <col min="17" max="17" width="9.88671875" bestFit="1" customWidth="1"/>
    <col min="18" max="19" width="21.6640625" bestFit="1" customWidth="1"/>
  </cols>
  <sheetData>
    <row r="1" spans="1:19" x14ac:dyDescent="0.3">
      <c r="A1" s="2" t="s">
        <v>559</v>
      </c>
      <c r="B1" s="2" t="s">
        <v>1297</v>
      </c>
      <c r="C1" s="2" t="s">
        <v>3080</v>
      </c>
      <c r="D1" s="2" t="s">
        <v>2623</v>
      </c>
      <c r="E1" s="2" t="s">
        <v>2208</v>
      </c>
      <c r="F1" s="2" t="s">
        <v>1120</v>
      </c>
      <c r="G1" s="2" t="s">
        <v>2588</v>
      </c>
      <c r="H1" s="2" t="s">
        <v>2665</v>
      </c>
      <c r="I1" s="2" t="s">
        <v>670</v>
      </c>
      <c r="J1" s="2" t="s">
        <v>1494</v>
      </c>
      <c r="K1" s="2" t="s">
        <v>2156</v>
      </c>
      <c r="L1" s="2" t="s">
        <v>1710</v>
      </c>
      <c r="M1" s="2" t="s">
        <v>61</v>
      </c>
      <c r="N1" s="2" t="s">
        <v>536</v>
      </c>
      <c r="O1" s="2" t="s">
        <v>1550</v>
      </c>
      <c r="P1" s="2" t="s">
        <v>501</v>
      </c>
      <c r="Q1" s="2" t="s">
        <v>1113</v>
      </c>
      <c r="R1" s="2" t="s">
        <v>1931</v>
      </c>
      <c r="S1" s="2" t="s">
        <v>2377</v>
      </c>
    </row>
    <row r="2" spans="1:19" x14ac:dyDescent="0.3">
      <c r="A2" t="s">
        <v>432</v>
      </c>
      <c r="B2" s="1">
        <v>46055</v>
      </c>
      <c r="C2" t="s">
        <v>347</v>
      </c>
      <c r="D2" t="s">
        <v>1886</v>
      </c>
      <c r="E2" t="s">
        <v>1850</v>
      </c>
      <c r="F2" t="s">
        <v>2094</v>
      </c>
      <c r="G2">
        <v>2024</v>
      </c>
      <c r="H2" s="3" t="str">
        <f>HYPERLINK("https://ovidsp.ovid.com/ovidweb.cgi?T=JS&amp;NEWS=n&amp;CSC=Y&amp;PAGE=booktext&amp;D=books&amp;SC=02275289&amp;EPUB=Y","https://ovidsp.ovid.com/ovidweb.cgi?T=JS&amp;NEWS=n&amp;CSC=Y&amp;PAGE=booktext&amp;D=books&amp;SC=02275289&amp;EPUB=Y")</f>
        <v>https://ovidsp.ovid.com/ovidweb.cgi?T=JS&amp;NEWS=n&amp;CSC=Y&amp;PAGE=booktext&amp;D=books&amp;SC=02275289&amp;EPUB=Y</v>
      </c>
      <c r="I2" t="s">
        <v>2151</v>
      </c>
      <c r="J2" t="s">
        <v>2431</v>
      </c>
      <c r="K2">
        <v>1428052</v>
      </c>
      <c r="L2" t="s">
        <v>2201</v>
      </c>
      <c r="M2" t="s">
        <v>2238</v>
      </c>
      <c r="N2" t="b">
        <v>0</v>
      </c>
      <c r="O2" t="s">
        <v>2022</v>
      </c>
      <c r="P2" t="s">
        <v>2022</v>
      </c>
      <c r="Q2" t="s">
        <v>2022</v>
      </c>
      <c r="R2" t="s">
        <v>192</v>
      </c>
      <c r="S2" t="s">
        <v>192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B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24.21875" bestFit="1" customWidth="1"/>
    <col min="2" max="2" width="73" bestFit="1" customWidth="1"/>
  </cols>
  <sheetData>
    <row r="1" spans="1:2" x14ac:dyDescent="0.3">
      <c r="A1" s="2" t="s">
        <v>111</v>
      </c>
      <c r="B1" s="2" t="s">
        <v>2665</v>
      </c>
    </row>
    <row r="2" spans="1:2" x14ac:dyDescent="0.3">
      <c r="A2" t="s">
        <v>241</v>
      </c>
      <c r="B2" s="3" t="str">
        <f>HYPERLINK("https://ovidsp.ovid.com/ovidweb.cgi?T=JS&amp;PAGE=dblist","https://ovidsp.ovid.com/ovidweb.cgi?T=JS&amp;PAGE=dblist")</f>
        <v>https://ovidsp.ovid.com/ovidweb.cgi?T=JS&amp;PAGE=dblist</v>
      </c>
    </row>
    <row r="3" spans="1:2" x14ac:dyDescent="0.3">
      <c r="A3" t="s">
        <v>48</v>
      </c>
      <c r="B3" s="3" t="str">
        <f>HYPERLINK("https://ovidsp.ovid.com/ovidweb.cgi?T=JS&amp;NEWS=n&amp;CSC=Y&amp;PAGE=browse&amp;D=ovft","https://ovidsp.ovid.com/ovidweb.cgi?T=JS&amp;NEWS=n&amp;CSC=Y&amp;PAGE=browse&amp;D=ovft")</f>
        <v>https://ovidsp.ovid.com/ovidweb.cgi?T=JS&amp;NEWS=n&amp;CSC=Y&amp;PAGE=browse&amp;D=ovft</v>
      </c>
    </row>
    <row r="4" spans="1:2" x14ac:dyDescent="0.3">
      <c r="A4" t="s">
        <v>1158</v>
      </c>
      <c r="B4" s="3" t="str">
        <f>HYPERLINK("https://ovidsp.ovid.com/ovidweb.cgi?T=JS&amp;NEWS=n&amp;CSC=Y&amp;PAGE=main&amp;D=baov","https://ovidsp.ovid.com/ovidweb.cgi?T=JS&amp;NEWS=n&amp;CSC=Y&amp;PAGE=main&amp;D=baov")</f>
        <v>https://ovidsp.ovid.com/ovidweb.cgi?T=JS&amp;NEWS=n&amp;CSC=Y&amp;PAGE=main&amp;D=baov</v>
      </c>
    </row>
    <row r="5" spans="1:2" x14ac:dyDescent="0.3">
      <c r="A5" t="s">
        <v>2078</v>
      </c>
      <c r="B5" s="3" t="str">
        <f>HYPERLINK("https://ovidsp.ovid.com/ovidweb.cgi?T=JS&amp;NEWS=n&amp;CSC=Y&amp;PAGE=browse&amp;D=yrovft","https://ovidsp.ovid.com/ovidweb.cgi?T=JS&amp;NEWS=n&amp;CSC=Y&amp;PAGE=browse&amp;D=yrovft")</f>
        <v>https://ovidsp.ovid.com/ovidweb.cgi?T=JS&amp;NEWS=n&amp;CSC=Y&amp;PAGE=browse&amp;D=yrovft</v>
      </c>
    </row>
    <row r="6" spans="1:2" x14ac:dyDescent="0.3">
      <c r="A6" t="s">
        <v>3043</v>
      </c>
      <c r="B6" s="3" t="str">
        <f>HYPERLINK("https://ovidsp.ovid.com/ovidweb.cgi?T=JS&amp;NEWS=n&amp;PAGE=main&amp;D=ovft","https://ovidsp.ovid.com/ovidweb.cgi?T=JS&amp;NEWS=n&amp;PAGE=main&amp;D=ovft")</f>
        <v>https://ovidsp.ovid.com/ovidweb.cgi?T=JS&amp;NEWS=n&amp;PAGE=main&amp;D=ovft</v>
      </c>
    </row>
    <row r="7" spans="1:2" x14ac:dyDescent="0.3">
      <c r="A7" t="s">
        <v>269</v>
      </c>
      <c r="B7" s="3" t="str">
        <f>HYPERLINK("https://ovidsp.ovid.com/ovidweb.cgi?T=JS&amp;NEWS=n&amp;PAGE=main&amp;D=books","https://ovidsp.ovid.com/ovidweb.cgi?T=JS&amp;NEWS=n&amp;PAGE=main&amp;D=books")</f>
        <v>https://ovidsp.ovid.com/ovidweb.cgi?T=JS&amp;NEWS=n&amp;PAGE=main&amp;D=books</v>
      </c>
    </row>
    <row r="8" spans="1:2" x14ac:dyDescent="0.3">
      <c r="A8" t="s">
        <v>332</v>
      </c>
      <c r="B8" s="3" t="str">
        <f>HYPERLINK("https://ovidsp.ovid.com/ovidweb.cgi?T=JS&amp;NEWS=n&amp;PAGE=main&amp;D=yrovft","https://ovidsp.ovid.com/ovidweb.cgi?T=JS&amp;NEWS=n&amp;PAGE=main&amp;D=yrovft")</f>
        <v>https://ovidsp.ovid.com/ovidweb.cgi?T=JS&amp;NEWS=n&amp;PAGE=main&amp;D=yrovft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FutureJournals</vt:lpstr>
      <vt:lpstr>Future Books</vt:lpstr>
      <vt:lpstr>Browse URLs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Szwec, Marcin</dc:creator>
  <cp:lastModifiedBy>Szwec, Marcin</cp:lastModifiedBy>
  <dcterms:created xsi:type="dcterms:W3CDTF">2026-01-30T10:35:20Z</dcterms:created>
  <dcterms:modified xsi:type="dcterms:W3CDTF">2026-01-30T10:39:28Z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6ee112-9e5c-4f16-b63d-fcad06e1707e_Enabled">
    <vt:lpwstr>true</vt:lpwstr>
  </property>
  <property fmtid="{D5CDD505-2E9C-101B-9397-08002B2CF9AE}" pid="3" name="MSIP_Label_fe6ee112-9e5c-4f16-b63d-fcad06e1707e_SetDate">
    <vt:lpwstr>2026-01-30T10:39:15Z</vt:lpwstr>
  </property>
  <property fmtid="{D5CDD505-2E9C-101B-9397-08002B2CF9AE}" pid="4" name="MSIP_Label_fe6ee112-9e5c-4f16-b63d-fcad06e1707e_Method">
    <vt:lpwstr>Standard</vt:lpwstr>
  </property>
  <property fmtid="{D5CDD505-2E9C-101B-9397-08002B2CF9AE}" pid="5" name="MSIP_Label_fe6ee112-9e5c-4f16-b63d-fcad06e1707e_Name">
    <vt:lpwstr>Internal Use</vt:lpwstr>
  </property>
  <property fmtid="{D5CDD505-2E9C-101B-9397-08002B2CF9AE}" pid="6" name="MSIP_Label_fe6ee112-9e5c-4f16-b63d-fcad06e1707e_SiteId">
    <vt:lpwstr>8ac76c91-e7f1-41ff-a89c-3553b2da2c17</vt:lpwstr>
  </property>
  <property fmtid="{D5CDD505-2E9C-101B-9397-08002B2CF9AE}" pid="7" name="MSIP_Label_fe6ee112-9e5c-4f16-b63d-fcad06e1707e_ActionId">
    <vt:lpwstr>5667ff4a-4e2d-4110-80c1-81e6d86f8ab9</vt:lpwstr>
  </property>
  <property fmtid="{D5CDD505-2E9C-101B-9397-08002B2CF9AE}" pid="8" name="MSIP_Label_fe6ee112-9e5c-4f16-b63d-fcad06e1707e_ContentBits">
    <vt:lpwstr>0</vt:lpwstr>
  </property>
  <property fmtid="{D5CDD505-2E9C-101B-9397-08002B2CF9AE}" pid="9" name="MSIP_Label_fe6ee112-9e5c-4f16-b63d-fcad06e1707e_Tag">
    <vt:lpwstr>10, 3, 0, 1</vt:lpwstr>
  </property>
</Properties>
</file>